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\DivisionFiles\DOMSD\mgmt\Acctng\Divisions\80 MHC\Financial Statements\FY26\"/>
    </mc:Choice>
  </mc:AlternateContent>
  <xr:revisionPtr revIDLastSave="0" documentId="13_ncr:1_{FB4D5DEB-581E-4DF7-9137-57F8F07BCD7D}" xr6:coauthVersionLast="47" xr6:coauthVersionMax="47" xr10:uidLastSave="{00000000-0000-0000-0000-000000000000}"/>
  <bookViews>
    <workbookView xWindow="19095" yWindow="0" windowWidth="19410" windowHeight="20985" tabRatio="898" xr2:uid="{0E1F5F46-87E1-490F-95C7-D2E341204497}"/>
  </bookViews>
  <sheets>
    <sheet name="Summary" sheetId="12" r:id="rId1"/>
    <sheet name="Detail" sheetId="1" r:id="rId2"/>
    <sheet name="Aug Trial Balance" sheetId="14" r:id="rId3"/>
    <sheet name="Aug ProCards" sheetId="68" r:id="rId4"/>
    <sheet name="Aug Vouchers" sheetId="69" r:id="rId5"/>
    <sheet name="MHPG Award" sheetId="43" r:id="rId6"/>
    <sheet name="Bed Tax Grant" sheetId="53" r:id="rId7"/>
    <sheet name="CWIP" sheetId="27" r:id="rId8"/>
    <sheet name="Rental Deposits" sheetId="23" r:id="rId9"/>
    <sheet name="TB Recon" sheetId="17" r:id="rId10"/>
  </sheets>
  <definedNames>
    <definedName name="_xlnm._FilterDatabase" localSheetId="2" hidden="1">'Aug Trial Balance'!$A$3:$F$58</definedName>
    <definedName name="_xlnm._FilterDatabase" localSheetId="4" hidden="1">'Aug Vouchers'!$A$1:$L$70</definedName>
    <definedName name="_xlnm._FilterDatabase" localSheetId="6" hidden="1">'Bed Tax Grant'!$A$3:$N$9</definedName>
    <definedName name="_xlnm._FilterDatabase" localSheetId="7" hidden="1">CWIP!$A$34:$K$34</definedName>
    <definedName name="_xlnm.Print_Area" localSheetId="1">Detail!$A$1:$O$47</definedName>
    <definedName name="_xlnm.Print_Area" localSheetId="0">Summary!$A$1:$D$52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7" l="1"/>
  <c r="B13" i="17"/>
  <c r="B9" i="17"/>
  <c r="D38" i="1"/>
  <c r="D39" i="1"/>
  <c r="B16" i="27"/>
  <c r="C38" i="1"/>
  <c r="B23" i="17"/>
  <c r="B33" i="17"/>
  <c r="B43" i="1"/>
  <c r="B52" i="17" l="1"/>
  <c r="B41" i="17" l="1"/>
  <c r="B17" i="43"/>
  <c r="D15" i="53"/>
  <c r="B5" i="12"/>
  <c r="N5" i="23" l="1"/>
  <c r="T3" i="23" s="1"/>
  <c r="B31" i="12"/>
  <c r="B32" i="12"/>
  <c r="B33" i="12"/>
  <c r="B34" i="12"/>
  <c r="B19" i="1"/>
  <c r="B26" i="1" s="1"/>
  <c r="O25" i="1"/>
  <c r="C17" i="12" s="1"/>
  <c r="D17" i="12" s="1"/>
  <c r="J44" i="1"/>
  <c r="C26" i="1"/>
  <c r="D26" i="1"/>
  <c r="E26" i="1"/>
  <c r="F26" i="1"/>
  <c r="G26" i="1"/>
  <c r="H26" i="1"/>
  <c r="I26" i="1"/>
  <c r="K26" i="1"/>
  <c r="L26" i="1"/>
  <c r="M26" i="1"/>
  <c r="N26" i="1"/>
  <c r="I44" i="1"/>
  <c r="B15" i="12"/>
  <c r="B16" i="12"/>
  <c r="O24" i="1"/>
  <c r="C16" i="12" s="1"/>
  <c r="H44" i="1"/>
  <c r="O23" i="1"/>
  <c r="C15" i="12" s="1"/>
  <c r="G44" i="1"/>
  <c r="B44" i="1"/>
  <c r="B49" i="1" s="1"/>
  <c r="D44" i="1"/>
  <c r="O40" i="1"/>
  <c r="C31" i="12" s="1"/>
  <c r="D31" i="12" s="1"/>
  <c r="B9" i="12"/>
  <c r="O38" i="1"/>
  <c r="C29" i="12" s="1"/>
  <c r="O17" i="1"/>
  <c r="C9" i="12" s="1"/>
  <c r="C44" i="1"/>
  <c r="B10" i="12"/>
  <c r="B12" i="12"/>
  <c r="O13" i="1"/>
  <c r="O14" i="1"/>
  <c r="C6" i="12" s="1"/>
  <c r="O15" i="1"/>
  <c r="C7" i="12" s="1"/>
  <c r="O18" i="1"/>
  <c r="C10" i="12" s="1"/>
  <c r="O19" i="1"/>
  <c r="C11" i="12" s="1"/>
  <c r="O20" i="1"/>
  <c r="C12" i="12" s="1"/>
  <c r="O21" i="1"/>
  <c r="C13" i="12" s="1"/>
  <c r="D13" i="12" s="1"/>
  <c r="O22" i="1"/>
  <c r="C14" i="12" s="1"/>
  <c r="O16" i="1"/>
  <c r="C8" i="12" s="1"/>
  <c r="I34" i="17"/>
  <c r="B8" i="17" s="1"/>
  <c r="B10" i="17" s="1"/>
  <c r="C7" i="1"/>
  <c r="B41" i="12" s="1"/>
  <c r="D7" i="1"/>
  <c r="B42" i="12" s="1"/>
  <c r="E7" i="1"/>
  <c r="B43" i="12" s="1"/>
  <c r="F7" i="1"/>
  <c r="B44" i="12"/>
  <c r="G7" i="1"/>
  <c r="B45" i="12" s="1"/>
  <c r="H7" i="1"/>
  <c r="B46" i="12" s="1"/>
  <c r="I7" i="1"/>
  <c r="B47" i="12" s="1"/>
  <c r="J7" i="1"/>
  <c r="B48" i="12" s="1"/>
  <c r="K7" i="1"/>
  <c r="B49" i="12" s="1"/>
  <c r="L7" i="1"/>
  <c r="B50" i="12"/>
  <c r="M7" i="1"/>
  <c r="B51" i="12" s="1"/>
  <c r="N7" i="1"/>
  <c r="B52" i="12" s="1"/>
  <c r="B7" i="1"/>
  <c r="P12" i="1"/>
  <c r="M44" i="1"/>
  <c r="L44" i="1"/>
  <c r="K44" i="1"/>
  <c r="B22" i="12"/>
  <c r="B21" i="12"/>
  <c r="N44" i="1"/>
  <c r="B50" i="17"/>
  <c r="F44" i="1"/>
  <c r="B28" i="17"/>
  <c r="B22" i="17"/>
  <c r="B40" i="17"/>
  <c r="E29" i="27"/>
  <c r="B19" i="17"/>
  <c r="B37" i="17"/>
  <c r="B38" i="17"/>
  <c r="B39" i="17"/>
  <c r="O12" i="1"/>
  <c r="C4" i="12" s="1"/>
  <c r="F4" i="23"/>
  <c r="O4" i="23" s="1"/>
  <c r="F3" i="14"/>
  <c r="B51" i="17"/>
  <c r="B14" i="17"/>
  <c r="B3" i="17"/>
  <c r="B42" i="17"/>
  <c r="B43" i="17"/>
  <c r="B44" i="17"/>
  <c r="B45" i="17"/>
  <c r="B46" i="17"/>
  <c r="B47" i="17"/>
  <c r="B48" i="17"/>
  <c r="B49" i="17"/>
  <c r="B20" i="17"/>
  <c r="B24" i="17"/>
  <c r="B25" i="17"/>
  <c r="B26" i="17"/>
  <c r="B27" i="17"/>
  <c r="B29" i="17"/>
  <c r="B30" i="17"/>
  <c r="B31" i="17"/>
  <c r="B32" i="17"/>
  <c r="B5" i="17"/>
  <c r="B21" i="17"/>
  <c r="B23" i="12"/>
  <c r="B24" i="12"/>
  <c r="B25" i="12"/>
  <c r="B26" i="12"/>
  <c r="B27" i="12"/>
  <c r="B28" i="12"/>
  <c r="B29" i="12"/>
  <c r="B30" i="12"/>
  <c r="B6" i="12"/>
  <c r="B7" i="12"/>
  <c r="B8" i="12"/>
  <c r="B14" i="12"/>
  <c r="B4" i="12"/>
  <c r="O35" i="1"/>
  <c r="P35" i="1" s="1"/>
  <c r="O36" i="1"/>
  <c r="P36" i="1" s="1"/>
  <c r="O37" i="1"/>
  <c r="C28" i="12" s="1"/>
  <c r="O41" i="1"/>
  <c r="P41" i="1" s="1"/>
  <c r="O43" i="1"/>
  <c r="C34" i="12" s="1"/>
  <c r="O31" i="1"/>
  <c r="P31" i="1" s="1"/>
  <c r="O32" i="1"/>
  <c r="C23" i="12" s="1"/>
  <c r="O33" i="1"/>
  <c r="P33" i="1" s="1"/>
  <c r="O34" i="1"/>
  <c r="P34" i="1" s="1"/>
  <c r="O42" i="1"/>
  <c r="P42" i="1" s="1"/>
  <c r="O30" i="1"/>
  <c r="C21" i="12" s="1"/>
  <c r="B11" i="12" l="1"/>
  <c r="B34" i="17"/>
  <c r="C25" i="12"/>
  <c r="D34" i="12"/>
  <c r="B53" i="17"/>
  <c r="C5" i="12"/>
  <c r="D5" i="12" s="1"/>
  <c r="E30" i="27"/>
  <c r="P32" i="1"/>
  <c r="O3" i="23"/>
  <c r="P40" i="1"/>
  <c r="E44" i="1"/>
  <c r="D15" i="12"/>
  <c r="J26" i="1"/>
  <c r="P37" i="1"/>
  <c r="C26" i="12"/>
  <c r="D26" i="12" s="1"/>
  <c r="D10" i="12"/>
  <c r="C24" i="12"/>
  <c r="D24" i="12" s="1"/>
  <c r="D9" i="12"/>
  <c r="C33" i="12"/>
  <c r="D33" i="12" s="1"/>
  <c r="C32" i="12"/>
  <c r="D32" i="12" s="1"/>
  <c r="C22" i="12"/>
  <c r="D22" i="12" s="1"/>
  <c r="D23" i="12"/>
  <c r="B35" i="12"/>
  <c r="Q45" i="1" s="1"/>
  <c r="D25" i="12"/>
  <c r="D28" i="12"/>
  <c r="D12" i="12"/>
  <c r="D11" i="12"/>
  <c r="D29" i="12"/>
  <c r="D16" i="12"/>
  <c r="D7" i="12"/>
  <c r="D8" i="12"/>
  <c r="D6" i="12"/>
  <c r="D14" i="12"/>
  <c r="B18" i="12"/>
  <c r="H3" i="23"/>
  <c r="T4" i="23" s="1"/>
  <c r="T5" i="23" s="1"/>
  <c r="P43" i="1"/>
  <c r="O39" i="1"/>
  <c r="P39" i="1" s="1"/>
  <c r="P38" i="1"/>
  <c r="C27" i="12"/>
  <c r="D27" i="12" s="1"/>
  <c r="D21" i="12"/>
  <c r="P30" i="1"/>
  <c r="D4" i="12"/>
  <c r="O26" i="1"/>
  <c r="B59" i="17" s="1"/>
  <c r="B16" i="17"/>
  <c r="C18" i="12" l="1"/>
  <c r="P26" i="1" s="1"/>
  <c r="B37" i="12"/>
  <c r="B56" i="17"/>
  <c r="B58" i="17" s="1"/>
  <c r="O44" i="1"/>
  <c r="C30" i="12"/>
  <c r="D30" i="12" s="1"/>
  <c r="O27" i="1"/>
  <c r="B60" i="17" l="1"/>
  <c r="O48" i="1"/>
  <c r="O45" i="1"/>
  <c r="C35" i="12"/>
  <c r="P44" i="1" s="1"/>
  <c r="C3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tc={F4D56DC2-E902-47E7-B089-F20F2040C68D}</author>
  </authors>
  <commentList>
    <comment ref="P26" authorId="0" shapeId="0" xr:uid="{F4D56DC2-E902-47E7-B089-F20F2040C68D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this check figure is not $0, then the proceeding check figure must be $0.</t>
      </text>
    </comment>
  </commentList>
</comments>
</file>

<file path=xl/sharedStrings.xml><?xml version="1.0" encoding="utf-8"?>
<sst xmlns="http://schemas.openxmlformats.org/spreadsheetml/2006/main" count="2062" uniqueCount="677">
  <si>
    <t>62100 Other Services</t>
  </si>
  <si>
    <t>62200 Supplies &amp; Materials</t>
  </si>
  <si>
    <t>62300 Communications</t>
  </si>
  <si>
    <t>62400 Travel</t>
  </si>
  <si>
    <t>62500 Rent</t>
  </si>
  <si>
    <t>62700 Repair &amp; Maintenance</t>
  </si>
  <si>
    <t>62800 Other Expenses</t>
  </si>
  <si>
    <t>Expense Category</t>
  </si>
  <si>
    <t>61000 Personal Services</t>
  </si>
  <si>
    <t>Budgeted Amount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</si>
  <si>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</si>
  <si>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</si>
  <si>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</si>
  <si>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</si>
  <si>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</si>
  <si>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</si>
  <si>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</si>
  <si>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</si>
  <si>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</si>
  <si>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</si>
  <si>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</si>
  <si>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</si>
  <si>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YTD Spending</t>
  </si>
  <si>
    <t>Total Authority per SABHRS</t>
  </si>
  <si>
    <t>Revenue Category</t>
  </si>
  <si>
    <t>Amount</t>
  </si>
  <si>
    <t>Fund 02102</t>
  </si>
  <si>
    <t>62900 Goods Purchased for Resale</t>
  </si>
  <si>
    <t>63100 Equipment</t>
  </si>
  <si>
    <t>64200 Buildings</t>
  </si>
  <si>
    <t>64300 Land Improvements</t>
  </si>
  <si>
    <t>62600 Utilities</t>
  </si>
  <si>
    <t>Montana Heritage Commission</t>
  </si>
  <si>
    <t>02102</t>
  </si>
  <si>
    <t>65010</t>
  </si>
  <si>
    <t>ACTUALS</t>
  </si>
  <si>
    <t>Merchandise</t>
  </si>
  <si>
    <t>62902</t>
  </si>
  <si>
    <t>Indirect/Administrative Costs</t>
  </si>
  <si>
    <t>62827</t>
  </si>
  <si>
    <t>Electricity</t>
  </si>
  <si>
    <t>62601</t>
  </si>
  <si>
    <t>Office Sup/Minor Equip-NonStat</t>
  </si>
  <si>
    <t>62241</t>
  </si>
  <si>
    <t>62210</t>
  </si>
  <si>
    <t>Data Network Serv/Non-D Of A</t>
  </si>
  <si>
    <t>62181</t>
  </si>
  <si>
    <t>Consult &amp; Prof Services</t>
  </si>
  <si>
    <t>62102</t>
  </si>
  <si>
    <t>State Unemployment Tax</t>
  </si>
  <si>
    <t>61410</t>
  </si>
  <si>
    <t>Workers Compensation Insur</t>
  </si>
  <si>
    <t>61404</t>
  </si>
  <si>
    <t>Group Insurance</t>
  </si>
  <si>
    <t>61403</t>
  </si>
  <si>
    <t>Retirement - Other</t>
  </si>
  <si>
    <t>61402</t>
  </si>
  <si>
    <t>FICA</t>
  </si>
  <si>
    <t>61401</t>
  </si>
  <si>
    <t>Holidays Worked</t>
  </si>
  <si>
    <t>61114</t>
  </si>
  <si>
    <t>Holiday</t>
  </si>
  <si>
    <t>61105</t>
  </si>
  <si>
    <t>Regular</t>
  </si>
  <si>
    <t>61101</t>
  </si>
  <si>
    <t>MBOI Investment Appr/Depr</t>
  </si>
  <si>
    <t>530032</t>
  </si>
  <si>
    <t>FAMILY PASS</t>
  </si>
  <si>
    <t>520117</t>
  </si>
  <si>
    <t>Fund Balance - Committed</t>
  </si>
  <si>
    <t>4130</t>
  </si>
  <si>
    <t>Fund Balance - Prepaids</t>
  </si>
  <si>
    <t>4122</t>
  </si>
  <si>
    <t>Fund Balance - Inventory</t>
  </si>
  <si>
    <t>4121</t>
  </si>
  <si>
    <t>Deposits Payable</t>
  </si>
  <si>
    <t>2519</t>
  </si>
  <si>
    <t>Prepaid Expense</t>
  </si>
  <si>
    <t>1905</t>
  </si>
  <si>
    <t>Merchandise Inventory</t>
  </si>
  <si>
    <t>1802</t>
  </si>
  <si>
    <t>Participant's Stip Investment</t>
  </si>
  <si>
    <t>1613</t>
  </si>
  <si>
    <t>Cash In Bank</t>
  </si>
  <si>
    <t>1104</t>
  </si>
  <si>
    <t>Cash Change Funds</t>
  </si>
  <si>
    <t>1101</t>
  </si>
  <si>
    <t>Bad Debt Coll Fee - DOR Net</t>
  </si>
  <si>
    <t>628A4</t>
  </si>
  <si>
    <t>Accommodations Tax</t>
  </si>
  <si>
    <t>512031</t>
  </si>
  <si>
    <t>Light Vehicle Registration</t>
  </si>
  <si>
    <t>512125</t>
  </si>
  <si>
    <t>Account</t>
  </si>
  <si>
    <t>Fund</t>
  </si>
  <si>
    <t>Business Unit</t>
  </si>
  <si>
    <t>Ledger</t>
  </si>
  <si>
    <t>Long Descr</t>
  </si>
  <si>
    <t>Journal ID</t>
  </si>
  <si>
    <t>Sub-Class</t>
  </si>
  <si>
    <t>Program</t>
  </si>
  <si>
    <t>Org</t>
  </si>
  <si>
    <t>Source</t>
  </si>
  <si>
    <t>Line Descr</t>
  </si>
  <si>
    <t>Date</t>
  </si>
  <si>
    <t>800200</t>
  </si>
  <si>
    <t>6501A</t>
  </si>
  <si>
    <t>800300</t>
  </si>
  <si>
    <t>Name</t>
  </si>
  <si>
    <t>Remit Supp</t>
  </si>
  <si>
    <t>Descr</t>
  </si>
  <si>
    <t>Distrib Amount</t>
  </si>
  <si>
    <t>Acctg Date</t>
  </si>
  <si>
    <t>Voucher ID</t>
  </si>
  <si>
    <t>Visitor Services</t>
  </si>
  <si>
    <t>512125 Vehicle Registration (Justice)</t>
  </si>
  <si>
    <t>512031 Bed Tax (Revenue)</t>
  </si>
  <si>
    <t>5201xx Visitor Services</t>
  </si>
  <si>
    <t>530025 Investment Earnings</t>
  </si>
  <si>
    <t>581410 Donations</t>
  </si>
  <si>
    <t>Vehicle Registration (Justice)</t>
  </si>
  <si>
    <t>Bed Tax (Revenue)</t>
  </si>
  <si>
    <t>Investment Earnings</t>
  </si>
  <si>
    <t>Merchandise Sold</t>
  </si>
  <si>
    <t>Donations</t>
  </si>
  <si>
    <t>Personal Services</t>
  </si>
  <si>
    <t>Other Services</t>
  </si>
  <si>
    <t>Supplies &amp; Materials</t>
  </si>
  <si>
    <t>Communications</t>
  </si>
  <si>
    <t>Travel</t>
  </si>
  <si>
    <t>Rent</t>
  </si>
  <si>
    <t>Utilities</t>
  </si>
  <si>
    <t>Repair &amp; Maintenance</t>
  </si>
  <si>
    <t>Other Expenses</t>
  </si>
  <si>
    <t>Goods Purchased for Resale</t>
  </si>
  <si>
    <t>Equipment</t>
  </si>
  <si>
    <t>Buildings</t>
  </si>
  <si>
    <t>Land Improvements</t>
  </si>
  <si>
    <t>YTD Amount</t>
  </si>
  <si>
    <t>Net Amount</t>
  </si>
  <si>
    <t>Percent Collected</t>
  </si>
  <si>
    <t>Percent Expended</t>
  </si>
  <si>
    <t>62519</t>
  </si>
  <si>
    <t>Photo Copy Equipment</t>
  </si>
  <si>
    <t>62512</t>
  </si>
  <si>
    <t>Cellular Phones</t>
  </si>
  <si>
    <t>62319</t>
  </si>
  <si>
    <t>Vacation</t>
  </si>
  <si>
    <t>61104</t>
  </si>
  <si>
    <t>Concessionaire Revenues</t>
  </si>
  <si>
    <t>560310</t>
  </si>
  <si>
    <t>Acct Rec Ext - Non Open Item</t>
  </si>
  <si>
    <t>1203A</t>
  </si>
  <si>
    <t>Fund Description</t>
  </si>
  <si>
    <t>Account Description</t>
  </si>
  <si>
    <t>Fiscal Year</t>
  </si>
  <si>
    <t>Fund Descr</t>
  </si>
  <si>
    <t>Account Descr</t>
  </si>
  <si>
    <t>Sum Total Amt</t>
  </si>
  <si>
    <t>Reconciliation for cash balance at July 1 to cash balance at month-end</t>
  </si>
  <si>
    <t>Cash at Month-End</t>
  </si>
  <si>
    <t>Cash at July 1</t>
  </si>
  <si>
    <t>Current Year Revenue &amp; Expense</t>
  </si>
  <si>
    <t>2101A</t>
  </si>
  <si>
    <t>Accounts Payable Non-Open Item</t>
  </si>
  <si>
    <t>6xxxx</t>
  </si>
  <si>
    <t>2103W</t>
  </si>
  <si>
    <t>Payroll Withholding Liability</t>
  </si>
  <si>
    <t>2107</t>
  </si>
  <si>
    <t>Vouchers Payable</t>
  </si>
  <si>
    <t>2113</t>
  </si>
  <si>
    <t>FYE Payroll Pay DofA Use Only</t>
  </si>
  <si>
    <t>2301B</t>
  </si>
  <si>
    <t>Accrued Liability (B)</t>
  </si>
  <si>
    <t>Assets and libilities at month-end</t>
  </si>
  <si>
    <t>Net Cash Increase (Decrease)</t>
  </si>
  <si>
    <t>(s/b $0)</t>
  </si>
  <si>
    <t>1201</t>
  </si>
  <si>
    <t>Interest Receivable</t>
  </si>
  <si>
    <t>1203</t>
  </si>
  <si>
    <t>Accounts Receivable-External</t>
  </si>
  <si>
    <t>5xxxxx</t>
  </si>
  <si>
    <t>All revenue</t>
  </si>
  <si>
    <t>YTD Earnings</t>
  </si>
  <si>
    <t>Assets and Liabilities at July 1</t>
  </si>
  <si>
    <t>All expenses</t>
  </si>
  <si>
    <t>NORTHWESTERN CORPORATION</t>
  </si>
  <si>
    <t>0000101011</t>
  </si>
  <si>
    <t>Trial Balance for 02150</t>
  </si>
  <si>
    <t>02150</t>
  </si>
  <si>
    <t>MHC Rental Deposits</t>
  </si>
  <si>
    <t>24443</t>
  </si>
  <si>
    <t>AR</t>
  </si>
  <si>
    <t>26504</t>
  </si>
  <si>
    <t>26733</t>
  </si>
  <si>
    <t>27422</t>
  </si>
  <si>
    <t>29365</t>
  </si>
  <si>
    <t>35568</t>
  </si>
  <si>
    <t>prior to 8.1.2017</t>
  </si>
  <si>
    <t>Deposit Detail</t>
  </si>
  <si>
    <t>N/A</t>
  </si>
  <si>
    <t>2519 Activity</t>
  </si>
  <si>
    <t>Reconciliation</t>
  </si>
  <si>
    <t>s/b $0</t>
  </si>
  <si>
    <t>Trial Balance:</t>
  </si>
  <si>
    <t>Activity:</t>
  </si>
  <si>
    <t>CELLCO PARTNERSHIP</t>
  </si>
  <si>
    <t>0000140553</t>
  </si>
  <si>
    <r>
      <t>Returned</t>
    </r>
    <r>
      <rPr>
        <sz val="11"/>
        <color theme="1"/>
        <rFont val="Calibri"/>
        <family val="2"/>
        <scheme val="minor"/>
      </rPr>
      <t xml:space="preserve"> (Y/N)</t>
    </r>
  </si>
  <si>
    <t>see below</t>
  </si>
  <si>
    <t>Detail for amounts received prior to 8.1.2017 (must total $5190)</t>
  </si>
  <si>
    <t>1107</t>
  </si>
  <si>
    <t>Cash On Hand At Fye</t>
  </si>
  <si>
    <t xml:space="preserve">Fund Equity adjustments: </t>
  </si>
  <si>
    <t>Prior Period Adjustments</t>
  </si>
  <si>
    <t>783H1</t>
  </si>
  <si>
    <t>2024</t>
  </si>
  <si>
    <t>Construction Work In Progress</t>
  </si>
  <si>
    <t>per SABHRS:</t>
  </si>
  <si>
    <t>000010300382</t>
  </si>
  <si>
    <t>AM</t>
  </si>
  <si>
    <t>1706</t>
  </si>
  <si>
    <t>ADD4655453</t>
  </si>
  <si>
    <t>FYE</t>
  </si>
  <si>
    <t>FYE4657396</t>
  </si>
  <si>
    <t>000010300398</t>
  </si>
  <si>
    <t>ADD4848534</t>
  </si>
  <si>
    <t>000010300396</t>
  </si>
  <si>
    <t>000010300397</t>
  </si>
  <si>
    <t>A</t>
  </si>
  <si>
    <t>B</t>
  </si>
  <si>
    <t>C</t>
  </si>
  <si>
    <t>D</t>
  </si>
  <si>
    <t>E</t>
  </si>
  <si>
    <t>05018</t>
  </si>
  <si>
    <t>000010300381</t>
  </si>
  <si>
    <t>Old balance; Ingrid will research</t>
  </si>
  <si>
    <t>62143</t>
  </si>
  <si>
    <t>62801</t>
  </si>
  <si>
    <t>64299</t>
  </si>
  <si>
    <t>Buildings - General</t>
  </si>
  <si>
    <t>CHARTER COMMUNICATIONS HOLDING COMPANY</t>
  </si>
  <si>
    <t>0000833316</t>
  </si>
  <si>
    <t>ACCT: 8313 20 031 0509071</t>
  </si>
  <si>
    <t>Ref</t>
  </si>
  <si>
    <t>AP</t>
  </si>
  <si>
    <t>62309</t>
  </si>
  <si>
    <t>Advertising - Non Recruiting</t>
  </si>
  <si>
    <t>Project</t>
  </si>
  <si>
    <t>ONL</t>
  </si>
  <si>
    <t>0004898842</t>
  </si>
  <si>
    <t>N/A - ADJ to deposit on 4.4.2023</t>
  </si>
  <si>
    <t>No - holding $400 as a deposit for next year</t>
  </si>
  <si>
    <t>62374</t>
  </si>
  <si>
    <t>2506A</t>
  </si>
  <si>
    <t>Uncleared Coll - Non Open Item</t>
  </si>
  <si>
    <t>PRO</t>
  </si>
  <si>
    <t>62489</t>
  </si>
  <si>
    <t>PRO4977303</t>
  </si>
  <si>
    <t>THREE RIVERS COMMUNICATIONS</t>
  </si>
  <si>
    <t>0000017222</t>
  </si>
  <si>
    <t>CYGNET STRATEGIES</t>
  </si>
  <si>
    <t>62753</t>
  </si>
  <si>
    <t>Kitchen Equipment</t>
  </si>
  <si>
    <t>FISHER'S DOCUMENT SYSTEMS, INC.</t>
  </si>
  <si>
    <t>0001148390</t>
  </si>
  <si>
    <t>YTD Budget Under/(Over)</t>
  </si>
  <si>
    <t>62132</t>
  </si>
  <si>
    <t>BRISTLECONE CONSTRUCTION LLC</t>
  </si>
  <si>
    <t>0001602625</t>
  </si>
  <si>
    <t>MONTANA PRESERVATION ALLIANCE INC</t>
  </si>
  <si>
    <t>0000040730</t>
  </si>
  <si>
    <t>Cash Balance</t>
  </si>
  <si>
    <t>STIP</t>
  </si>
  <si>
    <t>Cash - Justice</t>
  </si>
  <si>
    <t>Cash - MHC</t>
  </si>
  <si>
    <t>Cash - Revenue (capped at $1M)</t>
  </si>
  <si>
    <t>Month-End Cash Balance</t>
  </si>
  <si>
    <t>Daylight Village Parking Lot: land improvements.  Additional work includes plans for landscaping and a sprinkler system (likely another $18k) and be completed in FY26.</t>
  </si>
  <si>
    <t>Nevada City Dance Hall: reno; will likely be completed in FY26.  As of Apr 2024, another $50k is expected in FY26 ($100k total).</t>
  </si>
  <si>
    <t>Historic street lighting on Wallace Street in Virginia City.  Estimated time to completion: FY26.  Total cost ~$25k.</t>
  </si>
  <si>
    <t>Cogswell-Taylor project estimated to be $177k and finish in FY26.</t>
  </si>
  <si>
    <t>YTD Spending % of Budget</t>
  </si>
  <si>
    <t>ARCHITECTURE TRIO INC</t>
  </si>
  <si>
    <t>0001427862</t>
  </si>
  <si>
    <t>4xxx</t>
  </si>
  <si>
    <t>Current equity balance</t>
  </si>
  <si>
    <t>41100</t>
  </si>
  <si>
    <t>2025</t>
  </si>
  <si>
    <t>Merchant</t>
  </si>
  <si>
    <t>552001 Merchandise Sold</t>
  </si>
  <si>
    <t>552095 Fuel Reimbursement</t>
  </si>
  <si>
    <t>560302 Building Rentals</t>
  </si>
  <si>
    <t>560310 Concessionaire Revenues</t>
  </si>
  <si>
    <t>Fuel Reimbursement</t>
  </si>
  <si>
    <t>Building Rentals</t>
  </si>
  <si>
    <t>61158</t>
  </si>
  <si>
    <t>Compensatory Time Taken</t>
  </si>
  <si>
    <t>Internet Services/Non DofA</t>
  </si>
  <si>
    <t>Storage</t>
  </si>
  <si>
    <t>Dues</t>
  </si>
  <si>
    <t>STONEWALL HALL</t>
  </si>
  <si>
    <t>00293866</t>
  </si>
  <si>
    <t>Hickman House project estimated to be $160k and finish in FY26.</t>
  </si>
  <si>
    <t>This is the $141,250 award from the Montana Heritage Preservation Grant program within Community MT recorded in 02102 / 783A3</t>
  </si>
  <si>
    <t>Line #</t>
  </si>
  <si>
    <t>Period</t>
  </si>
  <si>
    <t>24-80-027</t>
  </si>
  <si>
    <t>AP Accruals</t>
  </si>
  <si>
    <t>552081 Films And Video Revenue</t>
  </si>
  <si>
    <t>25-80-001</t>
  </si>
  <si>
    <t>00294344</t>
  </si>
  <si>
    <t>00294017</t>
  </si>
  <si>
    <t>Films &amp; Video</t>
  </si>
  <si>
    <t>Coggswell-Taylor project estimated to be $177k and finish in FY26.</t>
  </si>
  <si>
    <t>Security Protection</t>
  </si>
  <si>
    <t>783A3</t>
  </si>
  <si>
    <t>800210</t>
  </si>
  <si>
    <t>00294640</t>
  </si>
  <si>
    <t>00294639</t>
  </si>
  <si>
    <t>ACC5086326</t>
  </si>
  <si>
    <t>62999 Fuel Purchased for Resale</t>
  </si>
  <si>
    <t>Fire Suppression Services</t>
  </si>
  <si>
    <t>Minor Tools, Instrum., &amp; Equip</t>
  </si>
  <si>
    <t>00295085</t>
  </si>
  <si>
    <t>00295076</t>
  </si>
  <si>
    <t>ACC5100805</t>
  </si>
  <si>
    <t>582820 Transfers-In (Bed Tax Grant)</t>
  </si>
  <si>
    <t>00295363</t>
  </si>
  <si>
    <t>Transfers-In: Bed Tax Grant</t>
  </si>
  <si>
    <t>Transfers-In: MHPG Grant</t>
  </si>
  <si>
    <t>FINAL STONEWALL HALL SAT GRNT</t>
  </si>
  <si>
    <t>00295563</t>
  </si>
  <si>
    <t>STONEWALL HALL SAT GRANT OCT24</t>
  </si>
  <si>
    <t>00295430</t>
  </si>
  <si>
    <t>STONEWALL HALL SAT GRANT NOV24</t>
  </si>
  <si>
    <t>00295429</t>
  </si>
  <si>
    <t>582820 Transfers-In (MHPG Grant)</t>
  </si>
  <si>
    <t>Invoice</t>
  </si>
  <si>
    <t>24-38</t>
  </si>
  <si>
    <t>JOSHUA BRYAN HICKS</t>
  </si>
  <si>
    <t>24-42</t>
  </si>
  <si>
    <t>24-44</t>
  </si>
  <si>
    <t>24-48</t>
  </si>
  <si>
    <t>2024-MHC-07 STONEWALL HALL</t>
  </si>
  <si>
    <t>2024-MHC-06 STONEWALL HALL</t>
  </si>
  <si>
    <t>2024-MHC-09 STONEWALL HALL</t>
  </si>
  <si>
    <t>This is the funding transferred to Bed Tax and recorded in 02102 / 783H1</t>
  </si>
  <si>
    <t>585xxx Miscellaneous Receipts</t>
  </si>
  <si>
    <t>Miscellaneous Receipts</t>
  </si>
  <si>
    <t>COGGSWELL-TAYLOR - MHPG</t>
  </si>
  <si>
    <t>00295913</t>
  </si>
  <si>
    <t>00295912</t>
  </si>
  <si>
    <t>ACC5127911</t>
  </si>
  <si>
    <t>39910</t>
  </si>
  <si>
    <t>39911</t>
  </si>
  <si>
    <t>40000</t>
  </si>
  <si>
    <t>00296030</t>
  </si>
  <si>
    <t>Halverson</t>
  </si>
  <si>
    <t>Bjerke</t>
  </si>
  <si>
    <t>Rockstar</t>
  </si>
  <si>
    <t>Moore</t>
  </si>
  <si>
    <t>BA Singer</t>
  </si>
  <si>
    <t>Judd</t>
  </si>
  <si>
    <t>Cash</t>
  </si>
  <si>
    <t>Highgate</t>
  </si>
  <si>
    <t>Stephens</t>
  </si>
  <si>
    <t>MADA</t>
  </si>
  <si>
    <t>A. Tappe</t>
  </si>
  <si>
    <t>Saigon Alley</t>
  </si>
  <si>
    <t>VC Creamery</t>
  </si>
  <si>
    <t>Jmacs</t>
  </si>
  <si>
    <t>Engle,Tanya Rae</t>
  </si>
  <si>
    <t>00296175</t>
  </si>
  <si>
    <t>0005134618</t>
  </si>
  <si>
    <t>MHC: correct org on Arch Trio invoices for MHPG award.</t>
  </si>
  <si>
    <t>ACC5135976</t>
  </si>
  <si>
    <t>Jen McGuire</t>
  </si>
  <si>
    <t>[cash]</t>
  </si>
  <si>
    <t>Ray DeAngelo</t>
  </si>
  <si>
    <t>Charlie Bear Weiner</t>
  </si>
  <si>
    <t>Jeff Gerhardt</t>
  </si>
  <si>
    <t>560325 Rental Income</t>
  </si>
  <si>
    <t>Venue Rentals</t>
  </si>
  <si>
    <t>F</t>
  </si>
  <si>
    <t>Reeder's Alley: work to restore/repair the stairs and deck around Rockstar BBQ.  Project's estimated cost is $111k and it is estimated to be completed in FY26 (by August 2025).</t>
  </si>
  <si>
    <t>Mae &amp; June</t>
  </si>
  <si>
    <t>62238</t>
  </si>
  <si>
    <t>Minor Equipment-Office Equip</t>
  </si>
  <si>
    <t>62295</t>
  </si>
  <si>
    <t>Janitorial/Non-State Proc</t>
  </si>
  <si>
    <t>Non-Employee In State Mileage</t>
  </si>
  <si>
    <t>62737</t>
  </si>
  <si>
    <t>Sign Materials</t>
  </si>
  <si>
    <t>00297001</t>
  </si>
  <si>
    <t>ACC5161001</t>
  </si>
  <si>
    <t>Bale of Hay - Marie</t>
  </si>
  <si>
    <t>Stonewall Hall project estimated to be $265k and finish between FY26-FY27.  Existing scope of work (phase 1) is expected to finish in September; no timeframe yet on phase 2.</t>
  </si>
  <si>
    <t>62743</t>
  </si>
  <si>
    <t>Computer Hardware Maintenance</t>
  </si>
  <si>
    <t>62910</t>
  </si>
  <si>
    <t>Office Supplies</t>
  </si>
  <si>
    <t>00297589</t>
  </si>
  <si>
    <t>00297357</t>
  </si>
  <si>
    <t>ACC5179703</t>
  </si>
  <si>
    <t>00297639</t>
  </si>
  <si>
    <t>25-16</t>
  </si>
  <si>
    <t>1303</t>
  </si>
  <si>
    <t>Due From Local Government</t>
  </si>
  <si>
    <t>1636</t>
  </si>
  <si>
    <t>STIP Investment Appr/Depr</t>
  </si>
  <si>
    <t>1643</t>
  </si>
  <si>
    <t>Cash Collateral - Sl</t>
  </si>
  <si>
    <t>2543</t>
  </si>
  <si>
    <t>Liab. Under Securities Lend</t>
  </si>
  <si>
    <t>2575</t>
  </si>
  <si>
    <t>Travel and Expense Payable</t>
  </si>
  <si>
    <t>62313</t>
  </si>
  <si>
    <t>Ads-TV - Non Recruiting</t>
  </si>
  <si>
    <t>62747</t>
  </si>
  <si>
    <t>Lawn Mowing</t>
  </si>
  <si>
    <t>Report Descr</t>
  </si>
  <si>
    <t>Empl Name</t>
  </si>
  <si>
    <t>Transaction Date</t>
  </si>
  <si>
    <t>Transaction Amount</t>
  </si>
  <si>
    <t>Transaction Descr</t>
  </si>
  <si>
    <t>800202</t>
  </si>
  <si>
    <t>00298320</t>
  </si>
  <si>
    <t>ICE HOUSE LLC</t>
  </si>
  <si>
    <t>0001092583</t>
  </si>
  <si>
    <t>RESALE: ICE</t>
  </si>
  <si>
    <t>ROSS I GANDELL</t>
  </si>
  <si>
    <t>0001720853</t>
  </si>
  <si>
    <t>25-80-016</t>
  </si>
  <si>
    <t>25-80-001A</t>
  </si>
  <si>
    <t>00298023</t>
  </si>
  <si>
    <t>0005180984</t>
  </si>
  <si>
    <t>MHC: CORRECTION JOURNAL - CORRECTING V00297357</t>
  </si>
  <si>
    <t>ACC5222434</t>
  </si>
  <si>
    <t>25-21</t>
  </si>
  <si>
    <t>Journal</t>
  </si>
  <si>
    <t>62905</t>
  </si>
  <si>
    <t>Books</t>
  </si>
  <si>
    <t>62906</t>
  </si>
  <si>
    <t>Freight - In (Books)</t>
  </si>
  <si>
    <t>64235</t>
  </si>
  <si>
    <t>Contract Payments</t>
  </si>
  <si>
    <t>FY25 Closed TB (02102 for all BUs)</t>
  </si>
  <si>
    <t>2026</t>
  </si>
  <si>
    <t>NATIONAL BOOK NETWORK INC</t>
  </si>
  <si>
    <t>0000181180</t>
  </si>
  <si>
    <t>CONTRACT BASE &amp; OVERAGES</t>
  </si>
  <si>
    <t>00298494</t>
  </si>
  <si>
    <t>BLUE MOUNTAIN BUILDERS LLC</t>
  </si>
  <si>
    <t>0001291382</t>
  </si>
  <si>
    <t>25-80-017</t>
  </si>
  <si>
    <t>00298477</t>
  </si>
  <si>
    <t>0000047496</t>
  </si>
  <si>
    <t>MARISA DIAZ-WAIAN</t>
  </si>
  <si>
    <t>0001159886</t>
  </si>
  <si>
    <t>25-80-015</t>
  </si>
  <si>
    <t>FY26 activity:</t>
  </si>
  <si>
    <t>000010300401</t>
  </si>
  <si>
    <t>000010300402</t>
  </si>
  <si>
    <t>000010300403</t>
  </si>
  <si>
    <t>000010300405</t>
  </si>
  <si>
    <t>000010300406</t>
  </si>
  <si>
    <t>000010300407</t>
  </si>
  <si>
    <t>000010300408</t>
  </si>
  <si>
    <t>This needs to retired and the expense on the RET journal needs to be reclassed.</t>
  </si>
  <si>
    <t>ADD5026774</t>
  </si>
  <si>
    <t>ADD5228363</t>
  </si>
  <si>
    <t>RET5077837</t>
  </si>
  <si>
    <t>G</t>
  </si>
  <si>
    <t>H</t>
  </si>
  <si>
    <t>Stonewall Hall project estimated to be $265k and finish between FY25-FY27.</t>
  </si>
  <si>
    <t>02102 Revenue &amp; Expense as of 8.31.2025</t>
  </si>
  <si>
    <t>Merlin</t>
  </si>
  <si>
    <t>Trial Balance including all business units for FY26, period 2</t>
  </si>
  <si>
    <t>530025</t>
  </si>
  <si>
    <t>STIP Participant Earnings</t>
  </si>
  <si>
    <t>552001</t>
  </si>
  <si>
    <t>Merchandise Sales</t>
  </si>
  <si>
    <t>552081</t>
  </si>
  <si>
    <t>Films And Video Revenue</t>
  </si>
  <si>
    <t>552095</t>
  </si>
  <si>
    <t>560302</t>
  </si>
  <si>
    <t>560325</t>
  </si>
  <si>
    <t>Rental Income</t>
  </si>
  <si>
    <t>61102</t>
  </si>
  <si>
    <t>Overtime</t>
  </si>
  <si>
    <t>61103</t>
  </si>
  <si>
    <t>Sick Leave</t>
  </si>
  <si>
    <t>62104</t>
  </si>
  <si>
    <t>Insurance &amp; Bonds-Fixed Costs</t>
  </si>
  <si>
    <t>62106</t>
  </si>
  <si>
    <t>Laboratory Testing</t>
  </si>
  <si>
    <t>62113</t>
  </si>
  <si>
    <t>Warrant Writing Services</t>
  </si>
  <si>
    <t>62114</t>
  </si>
  <si>
    <t>HRIS Service Fees</t>
  </si>
  <si>
    <t>62148</t>
  </si>
  <si>
    <t>SABHRS Administrative Costs</t>
  </si>
  <si>
    <t>621D1</t>
  </si>
  <si>
    <t>Chief Data Office Charge</t>
  </si>
  <si>
    <t>621D9</t>
  </si>
  <si>
    <t>OPIR Fixed Costs</t>
  </si>
  <si>
    <t>62216</t>
  </si>
  <si>
    <t>Gasoline</t>
  </si>
  <si>
    <t>62229</t>
  </si>
  <si>
    <t>Shop Supplies/Tools/Minr Equip</t>
  </si>
  <si>
    <t>62232</t>
  </si>
  <si>
    <t>Safety Supplies/Minor Equip</t>
  </si>
  <si>
    <t>62243</t>
  </si>
  <si>
    <t>Weed Control</t>
  </si>
  <si>
    <t>62311</t>
  </si>
  <si>
    <t>Ads-Radio - Non Recruiting</t>
  </si>
  <si>
    <t>62605</t>
  </si>
  <si>
    <t>Water &amp; Sewage</t>
  </si>
  <si>
    <t>62701</t>
  </si>
  <si>
    <t>Buildings &amp; Grounds</t>
  </si>
  <si>
    <t>62778</t>
  </si>
  <si>
    <t>Electrical Repairs</t>
  </si>
  <si>
    <t>62785</t>
  </si>
  <si>
    <t>Landscaping Maintenance</t>
  </si>
  <si>
    <t>62802</t>
  </si>
  <si>
    <t>Subscriptions</t>
  </si>
  <si>
    <t>62804</t>
  </si>
  <si>
    <t>Taxes, Assessments, Etc</t>
  </si>
  <si>
    <t>62809B</t>
  </si>
  <si>
    <t>Enterprise Learning and Dev</t>
  </si>
  <si>
    <t>62822</t>
  </si>
  <si>
    <t>Freight &amp; Express</t>
  </si>
  <si>
    <t>62823</t>
  </si>
  <si>
    <t>Licenses &amp; Permits</t>
  </si>
  <si>
    <t>62852</t>
  </si>
  <si>
    <t>Bank Service Charges</t>
  </si>
  <si>
    <t>62888</t>
  </si>
  <si>
    <t>Statewide Indirect Costs</t>
  </si>
  <si>
    <t>62999</t>
  </si>
  <si>
    <t>General</t>
  </si>
  <si>
    <t>Office supplies Laminating pouches for signs in gifts shops</t>
  </si>
  <si>
    <t>AMAZON MARK* H85MS35T3</t>
  </si>
  <si>
    <t>items for vc and nc</t>
  </si>
  <si>
    <t>0000005668</t>
  </si>
  <si>
    <t>Tea for resale at VC/NC gift shops</t>
  </si>
  <si>
    <t>AMAZON MARK* 6O6AK0ES3</t>
  </si>
  <si>
    <t>Scissors for Living History</t>
  </si>
  <si>
    <t>AMAZON MARK* 641368UD3</t>
  </si>
  <si>
    <t>Exit signs for VC and NC buildings</t>
  </si>
  <si>
    <t>AMAZON MARK* QH03P8VO3</t>
  </si>
  <si>
    <t>solar charge controller for weston hotel lights</t>
  </si>
  <si>
    <t>SP RENOGY</t>
  </si>
  <si>
    <t>Report ID</t>
  </si>
  <si>
    <t>BILLING DATE 08/18/2025</t>
  </si>
  <si>
    <t>00299037</t>
  </si>
  <si>
    <t>00299036</t>
  </si>
  <si>
    <t>BILLING DATE 08/14/2025</t>
  </si>
  <si>
    <t>00299035</t>
  </si>
  <si>
    <t>00299034</t>
  </si>
  <si>
    <t>STAPLES INC &amp; SUBSIDIARIES</t>
  </si>
  <si>
    <t>SUPPLIES FOR BATHROOMS</t>
  </si>
  <si>
    <t>00299033</t>
  </si>
  <si>
    <t>00299032</t>
  </si>
  <si>
    <t>RAY L SHAW</t>
  </si>
  <si>
    <t>0000188886</t>
  </si>
  <si>
    <t>WEED SPRAY JUN/JUL 2025 VC/NC</t>
  </si>
  <si>
    <t>00299031</t>
  </si>
  <si>
    <t>00299030</t>
  </si>
  <si>
    <t>CHARLES PRODUCTS, LLC</t>
  </si>
  <si>
    <t>0001438316</t>
  </si>
  <si>
    <t>MERCHANDISE</t>
  </si>
  <si>
    <t>00299029</t>
  </si>
  <si>
    <t>M &amp; M CONTRACTING</t>
  </si>
  <si>
    <t>0001562710</t>
  </si>
  <si>
    <t>307 COVER ST VC HENDERSON PAIN</t>
  </si>
  <si>
    <t>00299027</t>
  </si>
  <si>
    <t>00299026</t>
  </si>
  <si>
    <t>FY26 AUG CELL PHONE BILL</t>
  </si>
  <si>
    <t>00298942</t>
  </si>
  <si>
    <t>BILLING DATE 08/05/2025</t>
  </si>
  <si>
    <t>00298886</t>
  </si>
  <si>
    <t>00298885</t>
  </si>
  <si>
    <t>00298884</t>
  </si>
  <si>
    <t>00298883</t>
  </si>
  <si>
    <t>00298882</t>
  </si>
  <si>
    <t>00298881</t>
  </si>
  <si>
    <t>00298880</t>
  </si>
  <si>
    <t>00298879</t>
  </si>
  <si>
    <t>BILLING DATE 08/06/2025</t>
  </si>
  <si>
    <t>00298878</t>
  </si>
  <si>
    <t>00298877</t>
  </si>
  <si>
    <t>00298876</t>
  </si>
  <si>
    <t>00298875</t>
  </si>
  <si>
    <t>00298858</t>
  </si>
  <si>
    <t>VIRGINIA CITY TOWN OF TREASURER</t>
  </si>
  <si>
    <t>0000023509</t>
  </si>
  <si>
    <t>00298857</t>
  </si>
  <si>
    <t>00298851</t>
  </si>
  <si>
    <t>CITY UTILITY SERVICE</t>
  </si>
  <si>
    <t>0000023469</t>
  </si>
  <si>
    <t>JUL25 SERVICE - WATER &amp; SEWAGE</t>
  </si>
  <si>
    <t>00298837</t>
  </si>
  <si>
    <t>AM WELLES INC</t>
  </si>
  <si>
    <t>0000025984</t>
  </si>
  <si>
    <t>FUEL FOR RESALE</t>
  </si>
  <si>
    <t>00298828</t>
  </si>
  <si>
    <t>ULINE</t>
  </si>
  <si>
    <t>0000002662</t>
  </si>
  <si>
    <t>SUPPLIES</t>
  </si>
  <si>
    <t>00298827</t>
  </si>
  <si>
    <t>00298825</t>
  </si>
  <si>
    <t>00298824</t>
  </si>
  <si>
    <t>00298823</t>
  </si>
  <si>
    <t>CERTIFIED FOLDER DISPLAY SERVICE INC</t>
  </si>
  <si>
    <t>0000025107</t>
  </si>
  <si>
    <t>DELIVERY OF BROCHURES</t>
  </si>
  <si>
    <t>00298822</t>
  </si>
  <si>
    <t>00298820</t>
  </si>
  <si>
    <t>WATER/SEWER JUL25</t>
  </si>
  <si>
    <t>00298816</t>
  </si>
  <si>
    <t>LEWIS &amp; CLARK COUNTY TREASURER</t>
  </si>
  <si>
    <t>0000023541</t>
  </si>
  <si>
    <t>2024 TAX LIEN 20240962</t>
  </si>
  <si>
    <t>00298802</t>
  </si>
  <si>
    <t>2024 TAX LIEN 20240961</t>
  </si>
  <si>
    <t>00298801</t>
  </si>
  <si>
    <t>2024 TAX LIEN 20240958</t>
  </si>
  <si>
    <t>00298800</t>
  </si>
  <si>
    <t>2024 TAX LIEN 20240549</t>
  </si>
  <si>
    <t>00298799</t>
  </si>
  <si>
    <t>2024 TAX LIEN 20240959</t>
  </si>
  <si>
    <t>00298798</t>
  </si>
  <si>
    <t>2024 TAX LIEN 20241388</t>
  </si>
  <si>
    <t>00298797</t>
  </si>
  <si>
    <t>2024 TAX LIEN 20240540</t>
  </si>
  <si>
    <t>00298793</t>
  </si>
  <si>
    <t>THE THIRD ELEMENT INC</t>
  </si>
  <si>
    <t>0000722547</t>
  </si>
  <si>
    <t>REEDERS ALLEY COTTON TOP</t>
  </si>
  <si>
    <t>00298791</t>
  </si>
  <si>
    <t>THE MONTANA RADIO COMPANY, LLC</t>
  </si>
  <si>
    <t>0000686235</t>
  </si>
  <si>
    <t>REEDERS ALLEY RADIO ADS</t>
  </si>
  <si>
    <t>00298790</t>
  </si>
  <si>
    <t>AUG25 TELE/INTERNET SERVICE</t>
  </si>
  <si>
    <t>00298789</t>
  </si>
  <si>
    <t>00298788</t>
  </si>
  <si>
    <t>00298787</t>
  </si>
  <si>
    <t>00298767</t>
  </si>
  <si>
    <t>DAVID LAWLESS</t>
  </si>
  <si>
    <t>0001656520</t>
  </si>
  <si>
    <t>NC MUSEUM - SPRAY</t>
  </si>
  <si>
    <t>00298758</t>
  </si>
  <si>
    <t>00298747</t>
  </si>
  <si>
    <t>RESALE - GIFT SHOPS</t>
  </si>
  <si>
    <t>00298717</t>
  </si>
  <si>
    <t>ENERGY LABORATORIES INC</t>
  </si>
  <si>
    <t>0000017217</t>
  </si>
  <si>
    <t>BACTERIA PUBLIC WATER SUPPLY</t>
  </si>
  <si>
    <t>00298716</t>
  </si>
  <si>
    <t>FARCOUNTRY INCORPORATED</t>
  </si>
  <si>
    <t>0000018339</t>
  </si>
  <si>
    <t>BEYOND SPIRIT TAILINGS / CD</t>
  </si>
  <si>
    <t>00298715</t>
  </si>
  <si>
    <t>JANITORIAL &amp; MISC SUPPLIES</t>
  </si>
  <si>
    <t>00298702</t>
  </si>
  <si>
    <t>BOB'S PLACE &amp; MCFARLAND CENTER</t>
  </si>
  <si>
    <t>00298689</t>
  </si>
  <si>
    <t>KEEPING IT GREEN</t>
  </si>
  <si>
    <t>0000923802</t>
  </si>
  <si>
    <t>PLANT MAINTENANCE</t>
  </si>
  <si>
    <t>00298686</t>
  </si>
  <si>
    <t>BROCHURES</t>
  </si>
  <si>
    <t>00298658</t>
  </si>
  <si>
    <t>**Spending is in-process on this award; $133,300 has been reimbursed as of 8.31.2025.</t>
  </si>
  <si>
    <t>**Spending is in-process on this award.  $787,606 has been reimbursed as of 8.31.2025**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</si>
</sst>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theme="3" tint="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8C8C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wrapText="1"/>
    </xf>
    <xf numFmtId="164" fontId="0" fillId="0" borderId="0" xfId="1" applyNumberFormat="1" applyFont="1"/>
    <xf numFmtId="0" fontId="2" fillId="0" borderId="1" xfId="0" applyFont="1" applyBorder="1" applyAlignment="1">
      <alignment horizontal="right" wrapText="1"/>
    </xf>
    <xf numFmtId="164" fontId="0" fillId="0" borderId="2" xfId="1" applyNumberFormat="1" applyFont="1" applyBorder="1"/>
    <xf numFmtId="164" fontId="0" fillId="0" borderId="0" xfId="1" applyNumberFormat="1" applyFont="1" applyBorder="1"/>
    <xf numFmtId="0" fontId="0" fillId="0" borderId="0" xfId="0" applyAlignment="1">
      <alignment horizontal="right"/>
    </xf>
    <xf numFmtId="164" fontId="0" fillId="0" borderId="0" xfId="1" applyNumberFormat="1" applyFont="1" applyFill="1"/>
    <xf numFmtId="0" fontId="2" fillId="0" borderId="1" xfId="0" applyFont="1" applyBorder="1" applyAlignment="1">
      <alignment wrapText="1"/>
    </xf>
    <xf numFmtId="164" fontId="0" fillId="0" borderId="0" xfId="0" applyNumberFormat="1"/>
    <xf numFmtId="43" fontId="0" fillId="0" borderId="0" xfId="1" applyFont="1"/>
    <xf numFmtId="9" fontId="0" fillId="0" borderId="0" xfId="2" applyFont="1"/>
    <xf numFmtId="164" fontId="5" fillId="0" borderId="0" xfId="1" applyNumberFormat="1" applyFont="1"/>
    <xf numFmtId="164" fontId="5" fillId="0" borderId="0" xfId="1" applyNumberFormat="1" applyFont="1" applyBorder="1"/>
    <xf numFmtId="164" fontId="5" fillId="0" borderId="2" xfId="1" applyNumberFormat="1" applyFont="1" applyBorder="1"/>
    <xf numFmtId="164" fontId="5" fillId="0" borderId="0" xfId="1" applyNumberFormat="1" applyFont="1" applyFill="1"/>
    <xf numFmtId="0" fontId="6" fillId="0" borderId="0" xfId="3"/>
    <xf numFmtId="0" fontId="2" fillId="0" borderId="0" xfId="0" applyFont="1"/>
    <xf numFmtId="1" fontId="0" fillId="0" borderId="0" xfId="0" applyNumberFormat="1"/>
    <xf numFmtId="0" fontId="8" fillId="0" borderId="0" xfId="3" applyFont="1"/>
    <xf numFmtId="0" fontId="9" fillId="0" borderId="0" xfId="4" applyFont="1"/>
    <xf numFmtId="43" fontId="0" fillId="0" borderId="2" xfId="1" applyFont="1" applyBorder="1"/>
    <xf numFmtId="43" fontId="0" fillId="0" borderId="0" xfId="5" applyFont="1"/>
    <xf numFmtId="0" fontId="9" fillId="0" borderId="0" xfId="0" applyFont="1"/>
    <xf numFmtId="43" fontId="0" fillId="0" borderId="1" xfId="1" applyFont="1" applyBorder="1"/>
    <xf numFmtId="0" fontId="0" fillId="0" borderId="1" xfId="0" applyBorder="1"/>
    <xf numFmtId="0" fontId="6" fillId="0" borderId="0" xfId="3" applyAlignment="1">
      <alignment horizontal="left"/>
    </xf>
    <xf numFmtId="43" fontId="0" fillId="2" borderId="0" xfId="1" applyFont="1" applyFill="1"/>
    <xf numFmtId="43" fontId="6" fillId="0" borderId="0" xfId="3" applyNumberFormat="1"/>
    <xf numFmtId="0" fontId="0" fillId="0" borderId="0" xfId="0" applyAlignment="1">
      <alignment horizontal="left"/>
    </xf>
    <xf numFmtId="14" fontId="0" fillId="0" borderId="0" xfId="0" applyNumberFormat="1"/>
    <xf numFmtId="43" fontId="0" fillId="0" borderId="3" xfId="1" applyFont="1" applyBorder="1"/>
    <xf numFmtId="0" fontId="0" fillId="5" borderId="0" xfId="0" applyFill="1"/>
    <xf numFmtId="0" fontId="2" fillId="0" borderId="1" xfId="0" applyFont="1" applyBorder="1"/>
    <xf numFmtId="43" fontId="2" fillId="0" borderId="1" xfId="1" applyFont="1" applyBorder="1"/>
    <xf numFmtId="43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43" fontId="0" fillId="0" borderId="3" xfId="0" applyNumberFormat="1" applyBorder="1"/>
    <xf numFmtId="0" fontId="0" fillId="5" borderId="0" xfId="0" applyFill="1" applyAlignment="1">
      <alignment horizontal="left"/>
    </xf>
    <xf numFmtId="43" fontId="0" fillId="5" borderId="0" xfId="1" applyFont="1" applyFill="1"/>
    <xf numFmtId="0" fontId="8" fillId="0" borderId="1" xfId="0" applyFont="1" applyBorder="1"/>
    <xf numFmtId="0" fontId="9" fillId="0" borderId="0" xfId="3" applyFont="1"/>
    <xf numFmtId="43" fontId="6" fillId="0" borderId="3" xfId="3" applyNumberForma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quotePrefix="1" applyFont="1"/>
    <xf numFmtId="14" fontId="9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0" fillId="0" borderId="0" xfId="0" quotePrefix="1"/>
    <xf numFmtId="164" fontId="0" fillId="0" borderId="0" xfId="1" applyNumberFormat="1" applyFont="1" applyFill="1" applyBorder="1"/>
    <xf numFmtId="14" fontId="6" fillId="0" borderId="0" xfId="3" applyNumberFormat="1"/>
    <xf numFmtId="0" fontId="0" fillId="0" borderId="0" xfId="0" quotePrefix="1" applyAlignment="1">
      <alignment horizontal="center"/>
    </xf>
    <xf numFmtId="0" fontId="6" fillId="0" borderId="0" xfId="3" applyAlignment="1">
      <alignment wrapText="1"/>
    </xf>
    <xf numFmtId="0" fontId="3" fillId="0" borderId="0" xfId="0" applyFont="1" applyAlignment="1">
      <alignment horizontal="center"/>
    </xf>
    <xf numFmtId="14" fontId="2" fillId="0" borderId="1" xfId="0" applyNumberFormat="1" applyFont="1" applyBorder="1" applyAlignment="1">
      <alignment wrapText="1"/>
    </xf>
    <xf numFmtId="43" fontId="0" fillId="0" borderId="0" xfId="1" applyFont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Alignment="1"/>
    <xf numFmtId="0" fontId="2" fillId="0" borderId="1" xfId="0" applyFont="1" applyBorder="1" applyAlignment="1">
      <alignment horizontal="right"/>
    </xf>
    <xf numFmtId="9" fontId="5" fillId="0" borderId="0" xfId="2" applyFont="1" applyAlignment="1">
      <alignment horizontal="right" indent="2"/>
    </xf>
    <xf numFmtId="0" fontId="2" fillId="0" borderId="1" xfId="0" applyFont="1" applyBorder="1" applyAlignment="1">
      <alignment horizontal="center" wrapText="1"/>
    </xf>
    <xf numFmtId="164" fontId="0" fillId="0" borderId="2" xfId="1" applyNumberFormat="1" applyFont="1" applyFill="1" applyBorder="1"/>
    <xf numFmtId="43" fontId="0" fillId="0" borderId="0" xfId="1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3" borderId="0" xfId="0" applyFont="1" applyFill="1"/>
    <xf numFmtId="0" fontId="11" fillId="0" borderId="1" xfId="0" quotePrefix="1" applyFont="1" applyBorder="1"/>
    <xf numFmtId="0" fontId="11" fillId="0" borderId="1" xfId="0" quotePrefix="1" applyFont="1" applyBorder="1" applyAlignment="1">
      <alignment horizontal="center"/>
    </xf>
    <xf numFmtId="164" fontId="0" fillId="0" borderId="0" xfId="5" applyNumberFormat="1" applyFont="1"/>
    <xf numFmtId="0" fontId="8" fillId="0" borderId="1" xfId="3" applyFont="1" applyBorder="1" applyAlignment="1">
      <alignment wrapText="1"/>
    </xf>
    <xf numFmtId="43" fontId="8" fillId="0" borderId="1" xfId="5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2" fillId="0" borderId="0" xfId="3" applyFont="1"/>
    <xf numFmtId="43" fontId="0" fillId="0" borderId="3" xfId="5" applyFont="1" applyBorder="1"/>
    <xf numFmtId="0" fontId="0" fillId="0" borderId="0" xfId="0" applyAlignment="1">
      <alignment horizontal="left" wrapText="1"/>
    </xf>
    <xf numFmtId="14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/>
    <xf numFmtId="164" fontId="6" fillId="0" borderId="0" xfId="1" applyNumberFormat="1" applyFont="1"/>
    <xf numFmtId="164" fontId="8" fillId="0" borderId="0" xfId="1" applyNumberFormat="1" applyFont="1"/>
    <xf numFmtId="0" fontId="14" fillId="0" borderId="1" xfId="3" applyFont="1" applyBorder="1" applyAlignment="1">
      <alignment horizontal="center" wrapText="1"/>
    </xf>
    <xf numFmtId="0" fontId="9" fillId="0" borderId="0" xfId="3" applyFont="1" applyAlignment="1">
      <alignment horizontal="center"/>
    </xf>
    <xf numFmtId="0" fontId="14" fillId="0" borderId="1" xfId="3" applyFont="1" applyBorder="1" applyAlignment="1">
      <alignment wrapText="1"/>
    </xf>
    <xf numFmtId="164" fontId="5" fillId="0" borderId="0" xfId="1" applyNumberFormat="1" applyFont="1" applyFill="1" applyBorder="1"/>
    <xf numFmtId="43" fontId="0" fillId="0" borderId="0" xfId="5" applyFont="1" applyFill="1"/>
    <xf numFmtId="0" fontId="6" fillId="0" borderId="0" xfId="3" quotePrefix="1"/>
    <xf numFmtId="0" fontId="8" fillId="0" borderId="1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43" fontId="6" fillId="0" borderId="0" xfId="1" applyFont="1"/>
    <xf numFmtId="43" fontId="8" fillId="0" borderId="1" xfId="1" applyFont="1" applyBorder="1"/>
    <xf numFmtId="43" fontId="8" fillId="0" borderId="1" xfId="5" applyFont="1" applyBorder="1" applyAlignment="1">
      <alignment horizontal="right" wrapText="1"/>
    </xf>
    <xf numFmtId="0" fontId="8" fillId="0" borderId="1" xfId="3" applyFont="1" applyBorder="1" applyAlignment="1">
      <alignment horizontal="right" wrapText="1"/>
    </xf>
    <xf numFmtId="0" fontId="15" fillId="0" borderId="0" xfId="0" applyFont="1"/>
    <xf numFmtId="0" fontId="0" fillId="0" borderId="0" xfId="0" quotePrefix="1" applyAlignment="1">
      <alignment horizontal="left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Comma" xfId="1" builtinId="3"/>
    <cellStyle name="Comma 2" xfId="5" xr:uid="{2984714B-E68E-44CE-8E6E-567CCCC830FD}"/>
    <cellStyle name="Comma 3" xfId="6" xr:uid="{FDB64FB7-6DD8-4E19-A7DD-390231CE8B9A}"/>
    <cellStyle name="Comma 4" xfId="8" xr:uid="{98DCF5D8-3A48-48B4-AC08-34CE43DFEE61}"/>
    <cellStyle name="Normal" xfId="0" builtinId="0"/>
    <cellStyle name="Normal 2" xfId="3" xr:uid="{35A1A581-B4F8-4799-B504-2D6B6CF2CE1A}"/>
    <cellStyle name="Normal 3" xfId="7" xr:uid="{47379235-5CAA-49C2-87DF-C4D5C2D68786}"/>
    <cellStyle name="Normal 4" xfId="4" xr:uid="{0B369C80-9F72-476D-A8B2-43D3C1B1FDF6}"/>
    <cellStyle name="Percent" xfId="2" builtinId="5"/>
  </cellStyles>
  <dxfs count="10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strike val="0"/>
      </font>
      <fill>
        <patternFill>
          <bgColor rgb="FFFF9393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</dxfs>
  <tableStyles count="0" defaultTableStyle="TableStyleMedium2" defaultPivotStyle="PivotStyleLight16"/>
  <colors>
    <mruColors>
      <color rgb="FF66FF66"/>
      <color rgb="FF00FF00"/>
      <color rgb="FFFFFF99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llo, Ingrid" id="{C7CE0CB6-36AE-4C9C-B31A-81929171434D}" userId="S::CCA449@mt.gov::0ec45473-12d1-4e58-84bb-95ddd8a1f24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26" dT="2024-05-04T21:00:30.55" personId="{C7CE0CB6-36AE-4C9C-B31A-81929171434D}" id="{F4D56DC2-E902-47E7-B089-F20F2040C68D}">
    <text>If this check figure is not $0, then the proceeding check figure must be $0.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5B31C-D9F9-49A3-865A-CC020C93B0BD}">
  <sheetPr>
    <pageSetUpPr fitToPage="1"/>
  </sheetPr>
  <dimension ref="A1:D52"/>
  <sheetViews>
    <sheetView tabSelected="1" zoomScaleNormal="100" workbookViewId="0">
      <selection activeCell="A2" sqref="A2"/>
    </sheetView>
  </sheetViews>
  <sheetFormatPr defaultRowHeight="15" x14ac:dyDescent="0.25"/>
  <cols>
    <col min="1" max="1" width="26.5703125" customWidth="1"/>
    <col min="2" max="3" width="10.42578125" customWidth="1"/>
    <col min="4" max="4" width="9.85546875" bestFit="1" customWidth="1"/>
  </cols>
  <sheetData>
    <row r="1" spans="1:4" ht="17.25" x14ac:dyDescent="0.3">
      <c r="A1" s="98" t="s">
        <v>476</v>
      </c>
      <c r="B1" s="98"/>
      <c r="C1" s="98"/>
      <c r="D1" s="98"/>
    </row>
    <row r="3" spans="1:4" ht="30" x14ac:dyDescent="0.25">
      <c r="A3" s="8" t="s">
        <v>24</v>
      </c>
      <c r="B3" s="3" t="s">
        <v>9</v>
      </c>
      <c r="C3" s="3" t="s">
        <v>138</v>
      </c>
      <c r="D3" s="3" t="s">
        <v>140</v>
      </c>
    </row>
    <row r="4" spans="1:4" x14ac:dyDescent="0.25">
      <c r="A4" t="s">
        <v>120</v>
      </c>
      <c r="B4" s="2">
        <f>Detail!B12</f>
        <v>290000</v>
      </c>
      <c r="C4" s="2">
        <f>Detail!O12</f>
        <v>48727.520000000004</v>
      </c>
      <c r="D4" s="11">
        <f>C4/B4</f>
        <v>0.16802593103448277</v>
      </c>
    </row>
    <row r="5" spans="1:4" x14ac:dyDescent="0.25">
      <c r="A5" t="s">
        <v>121</v>
      </c>
      <c r="B5" s="2">
        <f>Detail!B13</f>
        <v>1000000</v>
      </c>
      <c r="C5" s="2">
        <f>Detail!O13</f>
        <v>440465.36000000004</v>
      </c>
      <c r="D5" s="11">
        <f t="shared" ref="D5:D17" si="0">C5/B5</f>
        <v>0.44046536000000003</v>
      </c>
    </row>
    <row r="6" spans="1:4" x14ac:dyDescent="0.25">
      <c r="A6" t="s">
        <v>114</v>
      </c>
      <c r="B6" s="2">
        <f>Detail!B14</f>
        <v>275000</v>
      </c>
      <c r="C6" s="2">
        <f>Detail!O14</f>
        <v>150361.25</v>
      </c>
      <c r="D6" s="11">
        <f t="shared" si="0"/>
        <v>0.54676818181818176</v>
      </c>
    </row>
    <row r="7" spans="1:4" x14ac:dyDescent="0.25">
      <c r="A7" t="s">
        <v>122</v>
      </c>
      <c r="B7" s="2">
        <f>Detail!B15</f>
        <v>5000</v>
      </c>
      <c r="C7" s="2">
        <f>Detail!O15</f>
        <v>155.09</v>
      </c>
      <c r="D7" s="11">
        <f t="shared" si="0"/>
        <v>3.1018E-2</v>
      </c>
    </row>
    <row r="8" spans="1:4" x14ac:dyDescent="0.25">
      <c r="A8" t="s">
        <v>123</v>
      </c>
      <c r="B8" s="2">
        <f>Detail!B16</f>
        <v>75000</v>
      </c>
      <c r="C8" s="2">
        <f>Detail!O16</f>
        <v>20680.789999999997</v>
      </c>
      <c r="D8" s="11">
        <f t="shared" si="0"/>
        <v>0.27574386666666661</v>
      </c>
    </row>
    <row r="9" spans="1:4" x14ac:dyDescent="0.25">
      <c r="A9" t="s">
        <v>313</v>
      </c>
      <c r="B9" s="2">
        <f>Detail!B17</f>
        <v>10000</v>
      </c>
      <c r="C9" s="2">
        <f>Detail!O17</f>
        <v>1800</v>
      </c>
      <c r="D9" s="11">
        <f t="shared" si="0"/>
        <v>0.18</v>
      </c>
    </row>
    <row r="10" spans="1:4" x14ac:dyDescent="0.25">
      <c r="A10" t="s">
        <v>294</v>
      </c>
      <c r="B10" s="2">
        <f>Detail!B18</f>
        <v>260000</v>
      </c>
      <c r="C10" s="2">
        <f>Detail!O18</f>
        <v>29830.720000000001</v>
      </c>
      <c r="D10" s="11">
        <f t="shared" si="0"/>
        <v>0.11473353846153847</v>
      </c>
    </row>
    <row r="11" spans="1:4" x14ac:dyDescent="0.25">
      <c r="A11" t="s">
        <v>295</v>
      </c>
      <c r="B11" s="2">
        <f>Detail!B19</f>
        <v>24800</v>
      </c>
      <c r="C11" s="2">
        <f>Detail!O19</f>
        <v>12808.86</v>
      </c>
      <c r="D11" s="11">
        <f t="shared" si="0"/>
        <v>0.51648629032258064</v>
      </c>
    </row>
    <row r="12" spans="1:4" x14ac:dyDescent="0.25">
      <c r="A12" t="s">
        <v>149</v>
      </c>
      <c r="B12" s="2">
        <f>Detail!B20</f>
        <v>190000</v>
      </c>
      <c r="C12" s="2">
        <f>Detail!O20</f>
        <v>46637.61</v>
      </c>
      <c r="D12" s="11">
        <f t="shared" si="0"/>
        <v>0.2454611052631579</v>
      </c>
    </row>
    <row r="13" spans="1:4" x14ac:dyDescent="0.25">
      <c r="A13" t="s">
        <v>383</v>
      </c>
      <c r="B13" s="2">
        <v>200</v>
      </c>
      <c r="C13" s="2">
        <f>Detail!O21</f>
        <v>1375</v>
      </c>
      <c r="D13" s="11">
        <f t="shared" si="0"/>
        <v>6.875</v>
      </c>
    </row>
    <row r="14" spans="1:4" x14ac:dyDescent="0.25">
      <c r="A14" t="s">
        <v>124</v>
      </c>
      <c r="B14" s="2">
        <f>Detail!B22</f>
        <v>5000</v>
      </c>
      <c r="C14" s="2">
        <f>Detail!O22</f>
        <v>0</v>
      </c>
      <c r="D14" s="11">
        <f t="shared" si="0"/>
        <v>0</v>
      </c>
    </row>
    <row r="15" spans="1:4" x14ac:dyDescent="0.25">
      <c r="A15" t="s">
        <v>329</v>
      </c>
      <c r="B15" s="2">
        <f>Detail!B23</f>
        <v>482022.39</v>
      </c>
      <c r="C15" s="2">
        <f>Detail!O23</f>
        <v>0</v>
      </c>
      <c r="D15" s="11">
        <f t="shared" si="0"/>
        <v>0</v>
      </c>
    </row>
    <row r="16" spans="1:4" x14ac:dyDescent="0.25">
      <c r="A16" t="s">
        <v>330</v>
      </c>
      <c r="B16" s="2">
        <f>Detail!B24</f>
        <v>141250</v>
      </c>
      <c r="C16" s="2">
        <f>Detail!O24</f>
        <v>0</v>
      </c>
      <c r="D16" s="11">
        <f t="shared" si="0"/>
        <v>0</v>
      </c>
    </row>
    <row r="17" spans="1:4" x14ac:dyDescent="0.25">
      <c r="A17" t="s">
        <v>349</v>
      </c>
      <c r="B17" s="2">
        <v>100</v>
      </c>
      <c r="C17" s="2">
        <f>Detail!O25</f>
        <v>0</v>
      </c>
      <c r="D17" s="11">
        <f t="shared" si="0"/>
        <v>0</v>
      </c>
    </row>
    <row r="18" spans="1:4" x14ac:dyDescent="0.25">
      <c r="B18" s="4">
        <f>SUM(B4:B17)</f>
        <v>2758372.39</v>
      </c>
      <c r="C18" s="4">
        <f>SUM(C4:C17)</f>
        <v>752842.20000000007</v>
      </c>
    </row>
    <row r="20" spans="1:4" ht="30" x14ac:dyDescent="0.25">
      <c r="A20" s="8" t="s">
        <v>7</v>
      </c>
      <c r="B20" s="3" t="s">
        <v>9</v>
      </c>
      <c r="C20" s="3" t="s">
        <v>138</v>
      </c>
      <c r="D20" s="3" t="s">
        <v>141</v>
      </c>
    </row>
    <row r="21" spans="1:4" x14ac:dyDescent="0.25">
      <c r="A21" t="s">
        <v>125</v>
      </c>
      <c r="B21" s="2">
        <f>Detail!B30</f>
        <v>675000</v>
      </c>
      <c r="C21" s="2">
        <f>Detail!O30</f>
        <v>99547.81</v>
      </c>
      <c r="D21" s="11">
        <f>C21/B21</f>
        <v>0.14747823703703702</v>
      </c>
    </row>
    <row r="22" spans="1:4" x14ac:dyDescent="0.25">
      <c r="A22" t="s">
        <v>126</v>
      </c>
      <c r="B22" s="2">
        <f>Detail!B31</f>
        <v>190000</v>
      </c>
      <c r="C22" s="2">
        <f>Detail!O31</f>
        <v>63086.13</v>
      </c>
      <c r="D22" s="11">
        <f t="shared" ref="D22:D30" si="1">C22/B22</f>
        <v>0.33203226315789475</v>
      </c>
    </row>
    <row r="23" spans="1:4" x14ac:dyDescent="0.25">
      <c r="A23" t="s">
        <v>127</v>
      </c>
      <c r="B23" s="2">
        <f>Detail!B32</f>
        <v>100000</v>
      </c>
      <c r="C23" s="2">
        <f>Detail!O32</f>
        <v>8685.83</v>
      </c>
      <c r="D23" s="11">
        <f t="shared" si="1"/>
        <v>8.6858299999999999E-2</v>
      </c>
    </row>
    <row r="24" spans="1:4" x14ac:dyDescent="0.25">
      <c r="A24" t="s">
        <v>128</v>
      </c>
      <c r="B24" s="2">
        <f>Detail!B33</f>
        <v>35000</v>
      </c>
      <c r="C24" s="2">
        <f>Detail!O33</f>
        <v>19908.57</v>
      </c>
      <c r="D24" s="11">
        <f t="shared" si="1"/>
        <v>0.56881628571428566</v>
      </c>
    </row>
    <row r="25" spans="1:4" x14ac:dyDescent="0.25">
      <c r="A25" t="s">
        <v>129</v>
      </c>
      <c r="B25" s="2">
        <f>Detail!B34</f>
        <v>15000</v>
      </c>
      <c r="C25" s="2">
        <f>Detail!O34</f>
        <v>105.5</v>
      </c>
      <c r="D25" s="11">
        <f t="shared" si="1"/>
        <v>7.0333333333333333E-3</v>
      </c>
    </row>
    <row r="26" spans="1:4" x14ac:dyDescent="0.25">
      <c r="A26" t="s">
        <v>130</v>
      </c>
      <c r="B26" s="2">
        <f>Detail!B35</f>
        <v>15000</v>
      </c>
      <c r="C26" s="2">
        <f>Detail!O35</f>
        <v>2060.21</v>
      </c>
      <c r="D26" s="11">
        <f t="shared" si="1"/>
        <v>0.13734733333333335</v>
      </c>
    </row>
    <row r="27" spans="1:4" x14ac:dyDescent="0.25">
      <c r="A27" t="s">
        <v>131</v>
      </c>
      <c r="B27" s="2">
        <f>Detail!B36</f>
        <v>80000</v>
      </c>
      <c r="C27" s="2">
        <f>Detail!O36</f>
        <v>8436.76</v>
      </c>
      <c r="D27" s="11">
        <f t="shared" si="1"/>
        <v>0.1054595</v>
      </c>
    </row>
    <row r="28" spans="1:4" x14ac:dyDescent="0.25">
      <c r="A28" t="s">
        <v>132</v>
      </c>
      <c r="B28" s="2">
        <f>Detail!B37</f>
        <v>130000</v>
      </c>
      <c r="C28" s="2">
        <f>Detail!O37</f>
        <v>36127.199999999997</v>
      </c>
      <c r="D28" s="11">
        <f t="shared" si="1"/>
        <v>0.27790153846153842</v>
      </c>
    </row>
    <row r="29" spans="1:4" x14ac:dyDescent="0.25">
      <c r="A29" t="s">
        <v>133</v>
      </c>
      <c r="B29" s="2">
        <f>Detail!B38</f>
        <v>135000</v>
      </c>
      <c r="C29" s="2">
        <f>Detail!O38</f>
        <v>35233.64</v>
      </c>
      <c r="D29" s="11">
        <f t="shared" si="1"/>
        <v>0.2609899259259259</v>
      </c>
    </row>
    <row r="30" spans="1:4" x14ac:dyDescent="0.25">
      <c r="A30" t="s">
        <v>134</v>
      </c>
      <c r="B30" s="2">
        <f>Detail!B39</f>
        <v>50000</v>
      </c>
      <c r="C30" s="2">
        <f>Detail!O39</f>
        <v>7274.4599999999991</v>
      </c>
      <c r="D30" s="11">
        <f t="shared" si="1"/>
        <v>0.14548919999999999</v>
      </c>
    </row>
    <row r="31" spans="1:4" x14ac:dyDescent="0.25">
      <c r="A31" t="s">
        <v>321</v>
      </c>
      <c r="B31" s="2">
        <f>Detail!B40</f>
        <v>165000</v>
      </c>
      <c r="C31" s="2">
        <f>Detail!O40</f>
        <v>27479</v>
      </c>
      <c r="D31" s="11">
        <f t="shared" ref="D31:D34" si="2">C31/B31</f>
        <v>0.16653939393939393</v>
      </c>
    </row>
    <row r="32" spans="1:4" x14ac:dyDescent="0.25">
      <c r="A32" t="s">
        <v>135</v>
      </c>
      <c r="B32" s="2">
        <f>Detail!B41</f>
        <v>10000</v>
      </c>
      <c r="C32" s="2">
        <f>Detail!O41</f>
        <v>0</v>
      </c>
      <c r="D32" s="11">
        <f t="shared" si="2"/>
        <v>0</v>
      </c>
    </row>
    <row r="33" spans="1:4" x14ac:dyDescent="0.25">
      <c r="A33" t="s">
        <v>136</v>
      </c>
      <c r="B33" s="2">
        <f>Detail!B42</f>
        <v>1000000</v>
      </c>
      <c r="C33" s="2">
        <f>Detail!O42</f>
        <v>337377.62</v>
      </c>
      <c r="D33" s="11">
        <f t="shared" si="2"/>
        <v>0.33737761999999999</v>
      </c>
    </row>
    <row r="34" spans="1:4" x14ac:dyDescent="0.25">
      <c r="A34" t="s">
        <v>137</v>
      </c>
      <c r="B34" s="2">
        <f>Detail!B43</f>
        <v>298852</v>
      </c>
      <c r="C34" s="2">
        <f>Detail!O43</f>
        <v>0</v>
      </c>
      <c r="D34" s="11">
        <f t="shared" si="2"/>
        <v>0</v>
      </c>
    </row>
    <row r="35" spans="1:4" x14ac:dyDescent="0.25">
      <c r="B35" s="4">
        <f>SUM(B21:B34)</f>
        <v>2898852</v>
      </c>
      <c r="C35" s="4">
        <f>SUM(C21:C34)</f>
        <v>645322.73</v>
      </c>
    </row>
    <row r="36" spans="1:4" ht="7.5" customHeight="1" x14ac:dyDescent="0.25"/>
    <row r="37" spans="1:4" x14ac:dyDescent="0.25">
      <c r="A37" s="17" t="s">
        <v>139</v>
      </c>
      <c r="B37" s="9">
        <f>B18-B35</f>
        <v>-140479.60999999987</v>
      </c>
      <c r="C37" s="9">
        <f>C18-C35</f>
        <v>107519.47000000009</v>
      </c>
    </row>
    <row r="40" spans="1:4" x14ac:dyDescent="0.25">
      <c r="A40" s="33" t="s">
        <v>277</v>
      </c>
      <c r="B40" s="61" t="s">
        <v>25</v>
      </c>
    </row>
    <row r="41" spans="1:4" x14ac:dyDescent="0.25">
      <c r="A41" t="s">
        <v>10</v>
      </c>
      <c r="B41" s="60">
        <f>Detail!C7</f>
        <v>633545.17999999993</v>
      </c>
    </row>
    <row r="42" spans="1:4" x14ac:dyDescent="0.25">
      <c r="A42" t="s">
        <v>11</v>
      </c>
      <c r="B42" s="60">
        <f>Detail!D7</f>
        <v>623118.47</v>
      </c>
    </row>
    <row r="43" spans="1:4" x14ac:dyDescent="0.25">
      <c r="A43" t="s">
        <v>12</v>
      </c>
      <c r="B43" s="60">
        <f>Detail!E7</f>
        <v>0</v>
      </c>
    </row>
    <row r="44" spans="1:4" x14ac:dyDescent="0.25">
      <c r="A44" t="s">
        <v>13</v>
      </c>
      <c r="B44" s="60">
        <f>Detail!F7</f>
        <v>0</v>
      </c>
    </row>
    <row r="45" spans="1:4" x14ac:dyDescent="0.25">
      <c r="A45" t="s">
        <v>14</v>
      </c>
      <c r="B45" s="60">
        <f>Detail!G7</f>
        <v>0</v>
      </c>
    </row>
    <row r="46" spans="1:4" x14ac:dyDescent="0.25">
      <c r="A46" t="s">
        <v>15</v>
      </c>
      <c r="B46" s="60">
        <f>Detail!H7</f>
        <v>0</v>
      </c>
    </row>
    <row r="47" spans="1:4" x14ac:dyDescent="0.25">
      <c r="A47" t="s">
        <v>16</v>
      </c>
      <c r="B47" s="60">
        <f>Detail!I7</f>
        <v>0</v>
      </c>
    </row>
    <row r="48" spans="1:4" x14ac:dyDescent="0.25">
      <c r="A48" t="s">
        <v>17</v>
      </c>
      <c r="B48" s="60">
        <f>Detail!J7</f>
        <v>0</v>
      </c>
    </row>
    <row r="49" spans="1:2" x14ac:dyDescent="0.25">
      <c r="A49" t="s">
        <v>18</v>
      </c>
      <c r="B49" s="60">
        <f>Detail!K7</f>
        <v>0</v>
      </c>
    </row>
    <row r="50" spans="1:2" x14ac:dyDescent="0.25">
      <c r="A50" t="s">
        <v>19</v>
      </c>
      <c r="B50" s="60">
        <f>Detail!L7</f>
        <v>0</v>
      </c>
    </row>
    <row r="51" spans="1:2" x14ac:dyDescent="0.25">
      <c r="A51" t="s">
        <v>20</v>
      </c>
      <c r="B51" s="60">
        <f>Detail!M7</f>
        <v>0</v>
      </c>
    </row>
    <row r="52" spans="1:2" x14ac:dyDescent="0.25">
      <c r="A52" t="s">
        <v>21</v>
      </c>
      <c r="B52" s="60">
        <f>Detail!N7</f>
        <v>0</v>
      </c>
    </row>
  </sheetData>
  <mergeCells count="1">
    <mergeCell ref="A1:D1"/>
  </mergeCells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72B8-4249-4ACF-8F65-EC0C9765826E}">
  <dimension ref="A1:O60"/>
  <sheetViews>
    <sheetView workbookViewId="0">
      <pane ySplit="2" topLeftCell="A15" activePane="bottomLeft" state="frozen"/>
      <selection activeCell="A32" sqref="A32"/>
      <selection pane="bottomLeft" activeCell="B16" sqref="B16"/>
    </sheetView>
  </sheetViews>
  <sheetFormatPr defaultColWidth="10.28515625" defaultRowHeight="15" x14ac:dyDescent="0.25"/>
  <cols>
    <col min="1" max="1" width="17.5703125" style="16" customWidth="1"/>
    <col min="2" max="2" width="14" style="16" bestFit="1" customWidth="1"/>
    <col min="3" max="3" width="7.7109375" style="16" bestFit="1" customWidth="1"/>
    <col min="4" max="7" width="10.28515625" style="16"/>
    <col min="8" max="8" width="9.7109375" style="16" customWidth="1"/>
    <col min="9" max="9" width="11.28515625" style="16" bestFit="1" customWidth="1"/>
    <col min="10" max="10" width="13.140625" style="16" bestFit="1" customWidth="1"/>
    <col min="11" max="11" width="6" style="16" bestFit="1" customWidth="1"/>
    <col min="12" max="12" width="29.42578125" style="16" bestFit="1" customWidth="1"/>
    <col min="13" max="13" width="8.28515625" style="16" bestFit="1" customWidth="1"/>
    <col min="14" max="14" width="31.42578125" style="16" bestFit="1" customWidth="1"/>
    <col min="15" max="15" width="15.42578125" style="92" bestFit="1" customWidth="1"/>
    <col min="16" max="16384" width="10.28515625" style="16"/>
  </cols>
  <sheetData>
    <row r="1" spans="1:15" x14ac:dyDescent="0.25">
      <c r="H1" s="23" t="s">
        <v>447</v>
      </c>
    </row>
    <row r="2" spans="1:15" x14ac:dyDescent="0.25">
      <c r="A2" s="24" t="s">
        <v>159</v>
      </c>
      <c r="B2" s="24"/>
      <c r="C2" s="25"/>
      <c r="D2" s="25"/>
      <c r="E2" s="25"/>
      <c r="H2" s="42" t="s">
        <v>96</v>
      </c>
      <c r="I2" s="90" t="s">
        <v>155</v>
      </c>
      <c r="J2" s="90" t="s">
        <v>95</v>
      </c>
      <c r="K2" s="42" t="s">
        <v>94</v>
      </c>
      <c r="L2" s="42" t="s">
        <v>156</v>
      </c>
      <c r="M2" s="42" t="s">
        <v>93</v>
      </c>
      <c r="N2" s="42" t="s">
        <v>157</v>
      </c>
      <c r="O2" s="93" t="s">
        <v>158</v>
      </c>
    </row>
    <row r="3" spans="1:15" x14ac:dyDescent="0.25">
      <c r="A3" s="26" t="s">
        <v>160</v>
      </c>
      <c r="B3" s="10">
        <f>SUMIF('Aug Trial Balance'!C:C,1104,'Aug Trial Balance'!E:E)</f>
        <v>-29694.239999999991</v>
      </c>
      <c r="C3"/>
      <c r="D3"/>
      <c r="E3"/>
      <c r="H3" t="s">
        <v>35</v>
      </c>
      <c r="I3" s="91">
        <v>2026</v>
      </c>
      <c r="J3" s="37" t="s">
        <v>287</v>
      </c>
      <c r="K3" t="s">
        <v>33</v>
      </c>
      <c r="L3" t="s">
        <v>32</v>
      </c>
      <c r="M3" t="s">
        <v>152</v>
      </c>
      <c r="N3" t="s">
        <v>151</v>
      </c>
      <c r="O3" s="10">
        <v>-2979.99</v>
      </c>
    </row>
    <row r="4" spans="1:15" x14ac:dyDescent="0.25">
      <c r="A4"/>
      <c r="B4" s="10"/>
      <c r="C4"/>
      <c r="D4"/>
      <c r="E4"/>
      <c r="H4" t="s">
        <v>35</v>
      </c>
      <c r="I4" s="91">
        <v>2026</v>
      </c>
      <c r="J4" s="37" t="s">
        <v>287</v>
      </c>
      <c r="K4" t="s">
        <v>33</v>
      </c>
      <c r="L4" t="s">
        <v>32</v>
      </c>
      <c r="M4" t="s">
        <v>407</v>
      </c>
      <c r="N4" t="s">
        <v>408</v>
      </c>
      <c r="O4" s="10">
        <v>18161.8</v>
      </c>
    </row>
    <row r="5" spans="1:15" x14ac:dyDescent="0.25">
      <c r="A5" s="6" t="s">
        <v>161</v>
      </c>
      <c r="B5" s="10">
        <f>SUMIF(M:M,1104,O:O)</f>
        <v>603162.62</v>
      </c>
      <c r="C5"/>
      <c r="D5"/>
      <c r="E5"/>
      <c r="H5" t="s">
        <v>35</v>
      </c>
      <c r="I5" s="91">
        <v>2026</v>
      </c>
      <c r="J5" s="37" t="s">
        <v>34</v>
      </c>
      <c r="K5" t="s">
        <v>33</v>
      </c>
      <c r="L5" t="s">
        <v>32</v>
      </c>
      <c r="M5" t="s">
        <v>70</v>
      </c>
      <c r="N5" t="s">
        <v>69</v>
      </c>
      <c r="O5" s="10">
        <v>-15181.81</v>
      </c>
    </row>
    <row r="6" spans="1:15" x14ac:dyDescent="0.25">
      <c r="A6" s="6"/>
      <c r="B6" s="10"/>
      <c r="C6"/>
      <c r="D6"/>
      <c r="E6"/>
      <c r="H6" t="s">
        <v>35</v>
      </c>
      <c r="I6" s="91">
        <v>2026</v>
      </c>
      <c r="J6" s="37" t="s">
        <v>34</v>
      </c>
      <c r="K6" t="s">
        <v>33</v>
      </c>
      <c r="L6" t="s">
        <v>32</v>
      </c>
      <c r="M6" t="s">
        <v>168</v>
      </c>
      <c r="N6" t="s">
        <v>169</v>
      </c>
      <c r="O6" s="10">
        <v>-9.6999999999999993</v>
      </c>
    </row>
    <row r="7" spans="1:15" x14ac:dyDescent="0.25">
      <c r="A7" s="29" t="s">
        <v>214</v>
      </c>
      <c r="B7" s="10"/>
      <c r="C7"/>
      <c r="D7"/>
      <c r="E7"/>
      <c r="H7" t="s">
        <v>35</v>
      </c>
      <c r="I7" s="91">
        <v>2026</v>
      </c>
      <c r="J7" s="37" t="s">
        <v>34</v>
      </c>
      <c r="K7" t="s">
        <v>33</v>
      </c>
      <c r="L7" t="s">
        <v>32</v>
      </c>
      <c r="M7" t="s">
        <v>70</v>
      </c>
      <c r="N7" t="s">
        <v>69</v>
      </c>
      <c r="O7" s="10">
        <v>9.6999999999999993</v>
      </c>
    </row>
    <row r="8" spans="1:15" x14ac:dyDescent="0.25">
      <c r="A8" s="6"/>
      <c r="B8" s="10">
        <f>-I34</f>
        <v>0</v>
      </c>
      <c r="C8"/>
      <c r="D8"/>
      <c r="E8"/>
      <c r="H8" t="s">
        <v>35</v>
      </c>
      <c r="I8" s="91">
        <v>2026</v>
      </c>
      <c r="J8" s="37" t="s">
        <v>34</v>
      </c>
      <c r="K8" t="s">
        <v>33</v>
      </c>
      <c r="L8" t="s">
        <v>32</v>
      </c>
      <c r="M8" t="s">
        <v>86</v>
      </c>
      <c r="N8" t="s">
        <v>85</v>
      </c>
      <c r="O8" s="10">
        <v>5000</v>
      </c>
    </row>
    <row r="9" spans="1:15" x14ac:dyDescent="0.25">
      <c r="A9" s="6"/>
      <c r="B9" s="27">
        <f>SUM('Aug Trial Balance'!E11:E13)</f>
        <v>-557642.48</v>
      </c>
      <c r="C9" t="s">
        <v>285</v>
      </c>
      <c r="D9" t="s">
        <v>286</v>
      </c>
      <c r="E9"/>
      <c r="H9" t="s">
        <v>35</v>
      </c>
      <c r="I9" s="91">
        <v>2026</v>
      </c>
      <c r="J9" s="37" t="s">
        <v>34</v>
      </c>
      <c r="K9" t="s">
        <v>33</v>
      </c>
      <c r="L9" t="s">
        <v>32</v>
      </c>
      <c r="M9" t="s">
        <v>84</v>
      </c>
      <c r="N9" t="s">
        <v>83</v>
      </c>
      <c r="O9" s="10">
        <v>603162.62</v>
      </c>
    </row>
    <row r="10" spans="1:15" x14ac:dyDescent="0.25">
      <c r="A10" s="6"/>
      <c r="B10" s="10">
        <f>B8+B9-O5-O7-SUM(O22:O24)</f>
        <v>0</v>
      </c>
      <c r="C10" t="s">
        <v>176</v>
      </c>
      <c r="D10"/>
      <c r="E10"/>
      <c r="H10" t="s">
        <v>35</v>
      </c>
      <c r="I10" s="91">
        <v>2026</v>
      </c>
      <c r="J10" s="37" t="s">
        <v>34</v>
      </c>
      <c r="K10" t="s">
        <v>33</v>
      </c>
      <c r="L10" t="s">
        <v>32</v>
      </c>
      <c r="M10" t="s">
        <v>211</v>
      </c>
      <c r="N10" t="s">
        <v>212</v>
      </c>
      <c r="O10" s="10">
        <v>45100.99</v>
      </c>
    </row>
    <row r="11" spans="1:15" x14ac:dyDescent="0.25">
      <c r="A11" s="6"/>
      <c r="B11" s="10"/>
      <c r="C11"/>
      <c r="D11"/>
      <c r="E11"/>
      <c r="H11" t="s">
        <v>35</v>
      </c>
      <c r="I11" s="91">
        <v>2026</v>
      </c>
      <c r="J11" s="37" t="s">
        <v>34</v>
      </c>
      <c r="K11" t="s">
        <v>33</v>
      </c>
      <c r="L11" t="s">
        <v>32</v>
      </c>
      <c r="M11" t="s">
        <v>177</v>
      </c>
      <c r="N11" t="s">
        <v>178</v>
      </c>
      <c r="O11" s="10">
        <v>2082.4299999999998</v>
      </c>
    </row>
    <row r="12" spans="1:15" x14ac:dyDescent="0.25">
      <c r="A12" t="s">
        <v>162</v>
      </c>
      <c r="B12" s="10"/>
      <c r="C12"/>
      <c r="D12"/>
      <c r="E12"/>
      <c r="H12" t="s">
        <v>35</v>
      </c>
      <c r="I12" s="91">
        <v>2026</v>
      </c>
      <c r="J12" s="37" t="s">
        <v>34</v>
      </c>
      <c r="K12" t="s">
        <v>33</v>
      </c>
      <c r="L12" t="s">
        <v>32</v>
      </c>
      <c r="M12" t="s">
        <v>82</v>
      </c>
      <c r="N12" t="s">
        <v>81</v>
      </c>
      <c r="O12" s="10">
        <v>575.19000000000005</v>
      </c>
    </row>
    <row r="13" spans="1:15" x14ac:dyDescent="0.25">
      <c r="A13"/>
      <c r="B13" s="27">
        <f>-SUM('Aug Trial Balance'!E14:E24)</f>
        <v>752842.41999999993</v>
      </c>
      <c r="C13" s="26" t="s">
        <v>181</v>
      </c>
      <c r="D13" s="16" t="s">
        <v>182</v>
      </c>
      <c r="E13"/>
      <c r="H13" t="s">
        <v>35</v>
      </c>
      <c r="I13" s="91">
        <v>2026</v>
      </c>
      <c r="J13" s="37" t="s">
        <v>34</v>
      </c>
      <c r="K13" t="s">
        <v>33</v>
      </c>
      <c r="L13" t="s">
        <v>32</v>
      </c>
      <c r="M13" t="s">
        <v>409</v>
      </c>
      <c r="N13" t="s">
        <v>410</v>
      </c>
      <c r="O13" s="10">
        <v>-0.22</v>
      </c>
    </row>
    <row r="14" spans="1:15" x14ac:dyDescent="0.25">
      <c r="A14"/>
      <c r="B14" s="10">
        <f>SUMIF('Aug Trial Balance'!C:C,'TB Recon'!C14,'Aug Trial Balance'!E:E)</f>
        <v>-0.22</v>
      </c>
      <c r="C14" s="26" t="s">
        <v>66</v>
      </c>
      <c r="D14" s="16" t="s">
        <v>65</v>
      </c>
      <c r="E14"/>
      <c r="H14" t="s">
        <v>35</v>
      </c>
      <c r="I14" s="91">
        <v>2026</v>
      </c>
      <c r="J14" s="37" t="s">
        <v>34</v>
      </c>
      <c r="K14" t="s">
        <v>33</v>
      </c>
      <c r="L14" t="s">
        <v>32</v>
      </c>
      <c r="M14" t="s">
        <v>411</v>
      </c>
      <c r="N14" t="s">
        <v>412</v>
      </c>
      <c r="O14" s="10">
        <v>29</v>
      </c>
    </row>
    <row r="15" spans="1:15" x14ac:dyDescent="0.25">
      <c r="A15"/>
      <c r="B15" s="27">
        <f>-SUM('Aug Trial Balance'!E25:E89)</f>
        <v>-645322.73</v>
      </c>
      <c r="C15" s="29" t="s">
        <v>165</v>
      </c>
      <c r="D15" t="s">
        <v>185</v>
      </c>
      <c r="E15"/>
      <c r="H15" t="s">
        <v>35</v>
      </c>
      <c r="I15" s="91">
        <v>2026</v>
      </c>
      <c r="J15" s="37" t="s">
        <v>34</v>
      </c>
      <c r="K15" t="s">
        <v>33</v>
      </c>
      <c r="L15" t="s">
        <v>32</v>
      </c>
      <c r="M15" t="s">
        <v>80</v>
      </c>
      <c r="N15" t="s">
        <v>79</v>
      </c>
      <c r="O15" s="10">
        <v>21826.27</v>
      </c>
    </row>
    <row r="16" spans="1:15" x14ac:dyDescent="0.25">
      <c r="A16"/>
      <c r="B16" s="21">
        <f>ROUND(SUM(B13:B15),2)</f>
        <v>107519.47</v>
      </c>
      <c r="C16"/>
      <c r="D16"/>
      <c r="E16"/>
      <c r="H16" t="s">
        <v>35</v>
      </c>
      <c r="I16" s="91">
        <v>2026</v>
      </c>
      <c r="J16" s="37" t="s">
        <v>34</v>
      </c>
      <c r="K16" t="s">
        <v>33</v>
      </c>
      <c r="L16" t="s">
        <v>32</v>
      </c>
      <c r="M16" t="s">
        <v>78</v>
      </c>
      <c r="N16" t="s">
        <v>77</v>
      </c>
      <c r="O16" s="10">
        <v>1883.32</v>
      </c>
    </row>
    <row r="17" spans="1:15" x14ac:dyDescent="0.25">
      <c r="A17"/>
      <c r="B17" s="10"/>
      <c r="C17"/>
      <c r="D17"/>
      <c r="E17"/>
      <c r="H17" t="s">
        <v>35</v>
      </c>
      <c r="I17" s="91">
        <v>2026</v>
      </c>
      <c r="J17" s="37" t="s">
        <v>34</v>
      </c>
      <c r="K17" t="s">
        <v>33</v>
      </c>
      <c r="L17" t="s">
        <v>32</v>
      </c>
      <c r="M17" t="s">
        <v>168</v>
      </c>
      <c r="N17" t="s">
        <v>169</v>
      </c>
      <c r="O17" s="10">
        <v>-87587.92</v>
      </c>
    </row>
    <row r="18" spans="1:15" x14ac:dyDescent="0.25">
      <c r="A18" t="s">
        <v>184</v>
      </c>
      <c r="B18" s="10"/>
      <c r="C18"/>
      <c r="D18"/>
      <c r="E18"/>
      <c r="H18" t="s">
        <v>35</v>
      </c>
      <c r="I18" s="91">
        <v>2026</v>
      </c>
      <c r="J18" s="37" t="s">
        <v>34</v>
      </c>
      <c r="K18" t="s">
        <v>33</v>
      </c>
      <c r="L18" t="s">
        <v>32</v>
      </c>
      <c r="M18" t="s">
        <v>170</v>
      </c>
      <c r="N18" t="s">
        <v>171</v>
      </c>
      <c r="O18" s="10">
        <v>-36972.17</v>
      </c>
    </row>
    <row r="19" spans="1:15" x14ac:dyDescent="0.25">
      <c r="A19"/>
      <c r="B19" s="10">
        <f t="shared" ref="B19:B33" si="0">SUMIF(M:M,C19,O:O)</f>
        <v>45100.99</v>
      </c>
      <c r="C19" s="16" t="s">
        <v>211</v>
      </c>
      <c r="D19" s="29" t="s">
        <v>212</v>
      </c>
      <c r="E19"/>
      <c r="H19" t="s">
        <v>35</v>
      </c>
      <c r="I19" s="91">
        <v>2026</v>
      </c>
      <c r="J19" s="37" t="s">
        <v>34</v>
      </c>
      <c r="K19" t="s">
        <v>33</v>
      </c>
      <c r="L19" t="s">
        <v>32</v>
      </c>
      <c r="M19" t="s">
        <v>172</v>
      </c>
      <c r="N19" t="s">
        <v>173</v>
      </c>
      <c r="O19" s="10">
        <v>-6546.12</v>
      </c>
    </row>
    <row r="20" spans="1:15" x14ac:dyDescent="0.25">
      <c r="A20"/>
      <c r="B20" s="10">
        <f t="shared" si="0"/>
        <v>2082.4299999999998</v>
      </c>
      <c r="C20" t="s">
        <v>177</v>
      </c>
      <c r="D20" t="s">
        <v>178</v>
      </c>
      <c r="E20"/>
      <c r="H20" t="s">
        <v>35</v>
      </c>
      <c r="I20" s="91">
        <v>2026</v>
      </c>
      <c r="J20" s="37" t="s">
        <v>34</v>
      </c>
      <c r="K20" t="s">
        <v>33</v>
      </c>
      <c r="L20" t="s">
        <v>32</v>
      </c>
      <c r="M20" t="s">
        <v>413</v>
      </c>
      <c r="N20" t="s">
        <v>414</v>
      </c>
      <c r="O20" s="10">
        <v>-29</v>
      </c>
    </row>
    <row r="21" spans="1:15" x14ac:dyDescent="0.25">
      <c r="A21"/>
      <c r="B21" s="10">
        <f t="shared" si="0"/>
        <v>0</v>
      </c>
      <c r="C21" t="s">
        <v>179</v>
      </c>
      <c r="D21" t="s">
        <v>180</v>
      </c>
      <c r="E21"/>
      <c r="H21" t="s">
        <v>35</v>
      </c>
      <c r="I21" s="91">
        <v>2026</v>
      </c>
      <c r="J21" s="37" t="s">
        <v>34</v>
      </c>
      <c r="K21" t="s">
        <v>33</v>
      </c>
      <c r="L21" t="s">
        <v>32</v>
      </c>
      <c r="M21" t="s">
        <v>415</v>
      </c>
      <c r="N21" t="s">
        <v>416</v>
      </c>
      <c r="O21" s="10">
        <v>-6054.02</v>
      </c>
    </row>
    <row r="22" spans="1:15" x14ac:dyDescent="0.25">
      <c r="A22"/>
      <c r="B22" s="10">
        <f t="shared" si="0"/>
        <v>-2979.99</v>
      </c>
      <c r="C22" s="16" t="s">
        <v>152</v>
      </c>
      <c r="D22" s="16" t="s">
        <v>151</v>
      </c>
      <c r="E22"/>
      <c r="H22" t="s">
        <v>35</v>
      </c>
      <c r="I22" s="91">
        <v>2026</v>
      </c>
      <c r="J22" s="37" t="s">
        <v>34</v>
      </c>
      <c r="K22" t="s">
        <v>33</v>
      </c>
      <c r="L22" t="s">
        <v>32</v>
      </c>
      <c r="M22" t="s">
        <v>74</v>
      </c>
      <c r="N22" t="s">
        <v>73</v>
      </c>
      <c r="O22" s="10">
        <v>-21826.27</v>
      </c>
    </row>
    <row r="23" spans="1:15" x14ac:dyDescent="0.25">
      <c r="A23"/>
      <c r="B23" s="10">
        <f t="shared" si="0"/>
        <v>18161.8</v>
      </c>
      <c r="C23" t="s">
        <v>407</v>
      </c>
      <c r="D23" t="s">
        <v>408</v>
      </c>
      <c r="E23"/>
      <c r="H23" t="s">
        <v>35</v>
      </c>
      <c r="I23" s="91">
        <v>2026</v>
      </c>
      <c r="J23" s="37" t="s">
        <v>34</v>
      </c>
      <c r="K23" t="s">
        <v>33</v>
      </c>
      <c r="L23" t="s">
        <v>32</v>
      </c>
      <c r="M23" t="s">
        <v>72</v>
      </c>
      <c r="N23" t="s">
        <v>71</v>
      </c>
      <c r="O23" s="10">
        <v>-1883.32</v>
      </c>
    </row>
    <row r="24" spans="1:15" x14ac:dyDescent="0.25">
      <c r="A24"/>
      <c r="B24" s="10">
        <f t="shared" si="0"/>
        <v>575.19000000000005</v>
      </c>
      <c r="C24" t="s">
        <v>82</v>
      </c>
      <c r="D24" t="s">
        <v>81</v>
      </c>
      <c r="E24"/>
      <c r="H24" t="s">
        <v>35</v>
      </c>
      <c r="I24" s="91">
        <v>2026</v>
      </c>
      <c r="J24" s="37" t="s">
        <v>34</v>
      </c>
      <c r="K24" t="s">
        <v>33</v>
      </c>
      <c r="L24" t="s">
        <v>32</v>
      </c>
      <c r="M24" t="s">
        <v>70</v>
      </c>
      <c r="N24" t="s">
        <v>69</v>
      </c>
      <c r="O24" s="10">
        <v>-518760.78</v>
      </c>
    </row>
    <row r="25" spans="1:15" x14ac:dyDescent="0.25">
      <c r="A25"/>
      <c r="B25" s="10">
        <f t="shared" si="0"/>
        <v>21826.27</v>
      </c>
      <c r="C25" t="s">
        <v>80</v>
      </c>
      <c r="D25" t="s">
        <v>79</v>
      </c>
      <c r="E25"/>
    </row>
    <row r="26" spans="1:15" x14ac:dyDescent="0.25">
      <c r="A26"/>
      <c r="B26" s="10">
        <f t="shared" si="0"/>
        <v>1883.32</v>
      </c>
      <c r="C26" t="s">
        <v>78</v>
      </c>
      <c r="D26" t="s">
        <v>77</v>
      </c>
      <c r="E26"/>
    </row>
    <row r="27" spans="1:15" x14ac:dyDescent="0.25">
      <c r="A27"/>
      <c r="B27" s="10">
        <f t="shared" si="0"/>
        <v>0</v>
      </c>
      <c r="C27" t="s">
        <v>163</v>
      </c>
      <c r="D27" t="s">
        <v>164</v>
      </c>
      <c r="E27"/>
      <c r="H27" s="43" t="s">
        <v>213</v>
      </c>
    </row>
    <row r="28" spans="1:15" x14ac:dyDescent="0.25">
      <c r="A28"/>
      <c r="B28" s="10">
        <f t="shared" si="0"/>
        <v>0</v>
      </c>
      <c r="C28" t="s">
        <v>166</v>
      </c>
      <c r="D28" t="s">
        <v>167</v>
      </c>
      <c r="E28"/>
      <c r="H28" s="42" t="s">
        <v>104</v>
      </c>
      <c r="I28" s="42" t="s">
        <v>25</v>
      </c>
      <c r="J28" s="42" t="s">
        <v>440</v>
      </c>
      <c r="K28" s="42" t="s">
        <v>94</v>
      </c>
      <c r="L28" s="42" t="s">
        <v>103</v>
      </c>
      <c r="M28" s="42" t="s">
        <v>93</v>
      </c>
      <c r="N28" s="42" t="s">
        <v>97</v>
      </c>
    </row>
    <row r="29" spans="1:15" x14ac:dyDescent="0.25">
      <c r="A29"/>
      <c r="B29" s="10">
        <f t="shared" si="0"/>
        <v>-87597.62</v>
      </c>
      <c r="C29" t="s">
        <v>168</v>
      </c>
      <c r="D29" t="s">
        <v>169</v>
      </c>
      <c r="E29"/>
      <c r="H29" s="30"/>
      <c r="I29" s="22"/>
      <c r="J29"/>
      <c r="K29"/>
      <c r="L29"/>
      <c r="M29"/>
      <c r="N29"/>
    </row>
    <row r="30" spans="1:15" x14ac:dyDescent="0.25">
      <c r="A30"/>
      <c r="B30" s="10">
        <f t="shared" si="0"/>
        <v>-36972.17</v>
      </c>
      <c r="C30" t="s">
        <v>170</v>
      </c>
      <c r="D30" t="s">
        <v>171</v>
      </c>
      <c r="E30"/>
      <c r="H30" s="30"/>
      <c r="I30" s="22"/>
      <c r="J30"/>
      <c r="K30"/>
      <c r="L30"/>
      <c r="M30"/>
      <c r="N30"/>
    </row>
    <row r="31" spans="1:15" x14ac:dyDescent="0.25">
      <c r="A31"/>
      <c r="B31" s="10">
        <f t="shared" si="0"/>
        <v>-6546.12</v>
      </c>
      <c r="C31" t="s">
        <v>172</v>
      </c>
      <c r="D31" t="s">
        <v>173</v>
      </c>
      <c r="E31"/>
      <c r="H31" s="30"/>
      <c r="I31" s="22"/>
      <c r="J31"/>
      <c r="K31"/>
      <c r="L31"/>
      <c r="M31"/>
      <c r="N31"/>
    </row>
    <row r="32" spans="1:15" x14ac:dyDescent="0.25">
      <c r="A32"/>
      <c r="B32" s="10">
        <f t="shared" si="0"/>
        <v>0</v>
      </c>
      <c r="C32" t="s">
        <v>76</v>
      </c>
      <c r="D32" t="s">
        <v>75</v>
      </c>
      <c r="E32"/>
      <c r="H32" s="30"/>
      <c r="I32" s="22"/>
      <c r="J32"/>
      <c r="K32"/>
      <c r="L32"/>
      <c r="M32"/>
      <c r="N32"/>
    </row>
    <row r="33" spans="1:14" x14ac:dyDescent="0.25">
      <c r="A33"/>
      <c r="B33" s="10">
        <f t="shared" si="0"/>
        <v>-6054.02</v>
      </c>
      <c r="C33" t="s">
        <v>415</v>
      </c>
      <c r="D33" t="s">
        <v>416</v>
      </c>
      <c r="E33"/>
      <c r="H33" s="30"/>
      <c r="I33" s="22"/>
      <c r="J33"/>
      <c r="K33"/>
      <c r="L33"/>
      <c r="M33"/>
      <c r="N33"/>
    </row>
    <row r="34" spans="1:14" ht="15.75" thickBot="1" x14ac:dyDescent="0.3">
      <c r="A34"/>
      <c r="B34" s="21">
        <f>ROUND(SUM(B19:B33),2)</f>
        <v>-50519.92</v>
      </c>
      <c r="C34"/>
      <c r="D34"/>
      <c r="E34"/>
      <c r="I34" s="44">
        <f>SUM(I29:I33)</f>
        <v>0</v>
      </c>
    </row>
    <row r="35" spans="1:14" ht="15.75" thickTop="1" x14ac:dyDescent="0.25">
      <c r="A35"/>
      <c r="B35" s="10"/>
      <c r="C35"/>
      <c r="D35"/>
      <c r="E35"/>
    </row>
    <row r="36" spans="1:14" x14ac:dyDescent="0.25">
      <c r="A36" t="s">
        <v>174</v>
      </c>
      <c r="B36" s="10"/>
      <c r="C36"/>
      <c r="D36"/>
      <c r="E36"/>
    </row>
    <row r="37" spans="1:14" x14ac:dyDescent="0.25">
      <c r="A37"/>
      <c r="B37" s="10">
        <f>-SUMIF('Aug Trial Balance'!C:C,'TB Recon'!C37,'Aug Trial Balance'!E:E)</f>
        <v>0</v>
      </c>
      <c r="C37" s="16" t="s">
        <v>211</v>
      </c>
      <c r="D37" s="29" t="s">
        <v>212</v>
      </c>
      <c r="E37"/>
    </row>
    <row r="38" spans="1:14" x14ac:dyDescent="0.25">
      <c r="A38"/>
      <c r="B38" s="10">
        <f>-SUMIF('Aug Trial Balance'!C:C,'TB Recon'!C38,'Aug Trial Balance'!E:E)</f>
        <v>0</v>
      </c>
      <c r="C38" s="16" t="s">
        <v>177</v>
      </c>
      <c r="D38" s="29" t="s">
        <v>178</v>
      </c>
      <c r="E38"/>
    </row>
    <row r="39" spans="1:14" x14ac:dyDescent="0.25">
      <c r="A39"/>
      <c r="B39" s="10">
        <f>-SUMIF('Aug Trial Balance'!C:C,'TB Recon'!C39,'Aug Trial Balance'!E:E)</f>
        <v>0</v>
      </c>
      <c r="C39" s="16" t="s">
        <v>179</v>
      </c>
      <c r="D39" s="29" t="s">
        <v>180</v>
      </c>
      <c r="E39"/>
    </row>
    <row r="40" spans="1:14" x14ac:dyDescent="0.25">
      <c r="A40"/>
      <c r="B40" s="10">
        <f>-SUMIF('Aug Trial Balance'!C:C,'TB Recon'!C40,'Aug Trial Balance'!E:E)</f>
        <v>2979.99</v>
      </c>
      <c r="C40" s="16" t="s">
        <v>152</v>
      </c>
      <c r="D40" s="16" t="s">
        <v>151</v>
      </c>
      <c r="E40"/>
    </row>
    <row r="41" spans="1:14" x14ac:dyDescent="0.25">
      <c r="A41"/>
      <c r="B41" s="10">
        <f>-SUMIF('Aug Trial Balance'!C:C,'TB Recon'!C41,'Aug Trial Balance'!E:E)</f>
        <v>-18161.8</v>
      </c>
      <c r="C41" s="16" t="s">
        <v>407</v>
      </c>
      <c r="D41" s="16" t="s">
        <v>408</v>
      </c>
      <c r="E41"/>
    </row>
    <row r="42" spans="1:14" x14ac:dyDescent="0.25">
      <c r="A42"/>
      <c r="B42" s="10">
        <f>-SUMIF('Aug Trial Balance'!C:C,'TB Recon'!C42,'Aug Trial Balance'!E:E)</f>
        <v>-652812.71</v>
      </c>
      <c r="C42" t="s">
        <v>82</v>
      </c>
      <c r="D42" t="s">
        <v>81</v>
      </c>
      <c r="E42"/>
    </row>
    <row r="43" spans="1:14" x14ac:dyDescent="0.25">
      <c r="A43"/>
      <c r="B43" s="10">
        <f>-SUMIF('Aug Trial Balance'!C:C,'TB Recon'!C43,'Aug Trial Balance'!E:E)</f>
        <v>-21826.27</v>
      </c>
      <c r="C43" t="s">
        <v>80</v>
      </c>
      <c r="D43" t="s">
        <v>79</v>
      </c>
      <c r="E43"/>
    </row>
    <row r="44" spans="1:14" x14ac:dyDescent="0.25">
      <c r="A44"/>
      <c r="B44" s="10">
        <f>-SUMIF('Aug Trial Balance'!C:C,'TB Recon'!C44,'Aug Trial Balance'!E:E)</f>
        <v>-35.619999999999997</v>
      </c>
      <c r="C44" t="s">
        <v>78</v>
      </c>
      <c r="D44" t="s">
        <v>77</v>
      </c>
      <c r="E44"/>
    </row>
    <row r="45" spans="1:14" x14ac:dyDescent="0.25">
      <c r="A45"/>
      <c r="B45" s="10">
        <f>-SUMIF('Aug Trial Balance'!C:C,'TB Recon'!C45,'Aug Trial Balance'!E:E)</f>
        <v>0</v>
      </c>
      <c r="C45" t="s">
        <v>163</v>
      </c>
      <c r="D45" t="s">
        <v>164</v>
      </c>
      <c r="E45"/>
    </row>
    <row r="46" spans="1:14" x14ac:dyDescent="0.25">
      <c r="A46"/>
      <c r="B46" s="10">
        <f>-SUMIF('Aug Trial Balance'!C:C,'TB Recon'!C46,'Aug Trial Balance'!E:E)</f>
        <v>0</v>
      </c>
      <c r="C46" t="s">
        <v>166</v>
      </c>
      <c r="D46" t="s">
        <v>167</v>
      </c>
      <c r="E46"/>
    </row>
    <row r="47" spans="1:14" x14ac:dyDescent="0.25">
      <c r="A47"/>
      <c r="B47" s="10">
        <f>-SUMIF('Aug Trial Balance'!C:C,'TB Recon'!C47,'Aug Trial Balance'!E:E)</f>
        <v>0</v>
      </c>
      <c r="C47" t="s">
        <v>168</v>
      </c>
      <c r="D47" t="s">
        <v>169</v>
      </c>
      <c r="E47"/>
    </row>
    <row r="48" spans="1:14" x14ac:dyDescent="0.25">
      <c r="A48"/>
      <c r="B48" s="10">
        <f>-SUMIF('Aug Trial Balance'!C:C,'TB Recon'!C48,'Aug Trial Balance'!E:E)</f>
        <v>0</v>
      </c>
      <c r="C48" t="s">
        <v>170</v>
      </c>
      <c r="D48" t="s">
        <v>171</v>
      </c>
      <c r="E48"/>
    </row>
    <row r="49" spans="1:5" x14ac:dyDescent="0.25">
      <c r="A49"/>
      <c r="B49" s="10">
        <f>-SUMIF('Aug Trial Balance'!C:C,'TB Recon'!C49,'Aug Trial Balance'!E:E)</f>
        <v>0</v>
      </c>
      <c r="C49" t="s">
        <v>172</v>
      </c>
      <c r="D49" t="s">
        <v>173</v>
      </c>
      <c r="E49"/>
    </row>
    <row r="50" spans="1:5" x14ac:dyDescent="0.25">
      <c r="A50"/>
      <c r="B50" s="10">
        <f>-SUMIF('Aug Trial Balance'!C:C,'TB Recon'!C50,'Aug Trial Balance'!E:E)</f>
        <v>0</v>
      </c>
      <c r="C50" s="16" t="s">
        <v>254</v>
      </c>
      <c r="D50" s="29" t="s">
        <v>255</v>
      </c>
      <c r="E50"/>
    </row>
    <row r="51" spans="1:5" x14ac:dyDescent="0.25">
      <c r="A51"/>
      <c r="B51" s="10">
        <f>-SUMIF('Aug Trial Balance'!C:C,'TB Recon'!C51,'Aug Trial Balance'!E:E)</f>
        <v>0</v>
      </c>
      <c r="C51" t="s">
        <v>76</v>
      </c>
      <c r="D51" t="s">
        <v>75</v>
      </c>
      <c r="E51"/>
    </row>
    <row r="52" spans="1:5" x14ac:dyDescent="0.25">
      <c r="A52"/>
      <c r="B52" s="10">
        <f>-SUMIF('Aug Trial Balance'!C:C,'TB Recon'!C52,'Aug Trial Balance'!E:E)</f>
        <v>0</v>
      </c>
      <c r="C52" s="16" t="s">
        <v>415</v>
      </c>
      <c r="D52" s="29" t="s">
        <v>416</v>
      </c>
      <c r="E52"/>
    </row>
    <row r="53" spans="1:5" x14ac:dyDescent="0.25">
      <c r="A53"/>
      <c r="B53" s="21">
        <f>ROUND(SUM(B37:B52),2)</f>
        <v>-689856.41</v>
      </c>
      <c r="C53"/>
      <c r="D53"/>
      <c r="E53"/>
    </row>
    <row r="54" spans="1:5" x14ac:dyDescent="0.25">
      <c r="A54"/>
      <c r="B54" s="10"/>
      <c r="C54"/>
      <c r="D54"/>
      <c r="E54"/>
    </row>
    <row r="55" spans="1:5" x14ac:dyDescent="0.25">
      <c r="A55" s="29" t="s">
        <v>175</v>
      </c>
      <c r="B55" s="10"/>
      <c r="C55"/>
      <c r="D55"/>
      <c r="E55"/>
    </row>
    <row r="56" spans="1:5" x14ac:dyDescent="0.25">
      <c r="A56" s="6"/>
      <c r="B56" s="10">
        <f>B8+B16+B34+B53</f>
        <v>-632856.86</v>
      </c>
      <c r="C56"/>
      <c r="D56"/>
      <c r="E56"/>
    </row>
    <row r="57" spans="1:5" x14ac:dyDescent="0.25">
      <c r="A57"/>
      <c r="B57" s="10"/>
      <c r="C57"/>
      <c r="D57"/>
      <c r="E57"/>
    </row>
    <row r="58" spans="1:5" x14ac:dyDescent="0.25">
      <c r="A58"/>
      <c r="B58" s="10">
        <f>B3-B5-B56</f>
        <v>0</v>
      </c>
      <c r="C58" t="s">
        <v>176</v>
      </c>
      <c r="D58"/>
      <c r="E58" s="28"/>
    </row>
    <row r="59" spans="1:5" x14ac:dyDescent="0.25">
      <c r="B59" s="28">
        <f>SUM(B13:B14)-Detail!O26</f>
        <v>0</v>
      </c>
      <c r="C59" t="s">
        <v>176</v>
      </c>
    </row>
    <row r="60" spans="1:5" x14ac:dyDescent="0.25">
      <c r="B60" s="28">
        <f>B15+Detail!O44</f>
        <v>0</v>
      </c>
      <c r="C60" t="s">
        <v>176</v>
      </c>
    </row>
  </sheetData>
  <conditionalFormatting sqref="B10">
    <cfRule type="cellIs" dxfId="3" priority="1" operator="notEqual">
      <formula>0</formula>
    </cfRule>
    <cfRule type="cellIs" dxfId="2" priority="2" operator="notEqual">
      <formula>0</formula>
    </cfRule>
  </conditionalFormatting>
  <conditionalFormatting sqref="B58:B60">
    <cfRule type="cellIs" dxfId="1" priority="3" operator="notEqual">
      <formula>0</formula>
    </cfRule>
    <cfRule type="cellIs" dxfId="0" priority="4" operator="not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50ABC-B675-4D44-88AB-E86B2C3D6201}">
  <sheetPr>
    <pageSetUpPr fitToPage="1"/>
  </sheetPr>
  <dimension ref="A1:Q49"/>
  <sheetViews>
    <sheetView zoomScaleNormal="100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RowHeight="15" x14ac:dyDescent="0.25"/>
  <cols>
    <col min="1" max="1" width="34" bestFit="1" customWidth="1"/>
    <col min="2" max="2" width="10.5703125" bestFit="1" customWidth="1"/>
    <col min="3" max="6" width="9.42578125" customWidth="1"/>
    <col min="7" max="7" width="11.28515625" bestFit="1" customWidth="1"/>
    <col min="8" max="9" width="9.42578125" customWidth="1"/>
    <col min="10" max="13" width="11.28515625" bestFit="1" customWidth="1"/>
    <col min="14" max="14" width="9.7109375" bestFit="1" customWidth="1"/>
    <col min="15" max="15" width="10.5703125" bestFit="1" customWidth="1"/>
    <col min="16" max="16" width="11.5703125" customWidth="1"/>
    <col min="17" max="17" width="5.140625" bestFit="1" customWidth="1"/>
  </cols>
  <sheetData>
    <row r="1" spans="1:16" ht="17.25" x14ac:dyDescent="0.3">
      <c r="A1" s="99" t="s">
        <v>26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6" ht="17.25" x14ac:dyDescent="0.3">
      <c r="A2" s="8" t="s">
        <v>272</v>
      </c>
      <c r="B2" s="56">
        <v>45839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3" t="s">
        <v>16</v>
      </c>
      <c r="J2" s="3" t="s">
        <v>17</v>
      </c>
      <c r="K2" s="3" t="s">
        <v>18</v>
      </c>
      <c r="L2" s="3" t="s">
        <v>19</v>
      </c>
      <c r="M2" s="3" t="s">
        <v>20</v>
      </c>
      <c r="N2" s="3" t="s">
        <v>21</v>
      </c>
      <c r="O2" s="55"/>
    </row>
    <row r="3" spans="1:16" x14ac:dyDescent="0.25">
      <c r="A3" t="s">
        <v>274</v>
      </c>
      <c r="B3" s="59">
        <v>0</v>
      </c>
      <c r="C3" s="59">
        <v>23814.74</v>
      </c>
      <c r="D3" s="59">
        <v>48727.519999999997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7"/>
    </row>
    <row r="4" spans="1:16" x14ac:dyDescent="0.25">
      <c r="A4" t="s">
        <v>276</v>
      </c>
      <c r="B4" s="59">
        <v>0</v>
      </c>
      <c r="C4" s="59">
        <v>381103.88</v>
      </c>
      <c r="D4" s="59">
        <v>440448.41</v>
      </c>
      <c r="E4" s="59"/>
      <c r="F4" s="59"/>
      <c r="G4" s="71"/>
      <c r="H4" s="59"/>
      <c r="I4" s="59"/>
      <c r="J4" s="59"/>
      <c r="K4" s="59"/>
      <c r="L4" s="59"/>
      <c r="M4" s="59"/>
      <c r="N4" s="59"/>
      <c r="O4" s="57"/>
    </row>
    <row r="5" spans="1:16" x14ac:dyDescent="0.25">
      <c r="A5" t="s">
        <v>275</v>
      </c>
      <c r="B5" s="59">
        <v>603162.62</v>
      </c>
      <c r="C5" s="59">
        <v>-74031.06</v>
      </c>
      <c r="D5" s="59">
        <v>-518870.17</v>
      </c>
      <c r="E5" s="59"/>
      <c r="F5" s="59"/>
      <c r="G5" s="71"/>
      <c r="H5" s="59"/>
      <c r="I5" s="59"/>
      <c r="J5" s="59"/>
      <c r="K5" s="59"/>
      <c r="L5" s="59"/>
      <c r="M5" s="59"/>
      <c r="N5" s="71"/>
      <c r="O5" s="57"/>
    </row>
    <row r="6" spans="1:16" x14ac:dyDescent="0.25">
      <c r="A6" t="s">
        <v>273</v>
      </c>
      <c r="B6" s="59">
        <v>575.19000000000005</v>
      </c>
      <c r="C6" s="59">
        <v>302657.62</v>
      </c>
      <c r="D6" s="59">
        <v>652812.71</v>
      </c>
      <c r="E6" s="59"/>
      <c r="F6" s="59"/>
      <c r="G6" s="71"/>
      <c r="H6" s="59"/>
      <c r="I6" s="59"/>
      <c r="J6" s="59"/>
      <c r="K6" s="59"/>
      <c r="L6" s="59"/>
      <c r="M6" s="59"/>
      <c r="N6" s="59"/>
      <c r="O6" s="57"/>
    </row>
    <row r="7" spans="1:16" ht="15.75" thickBot="1" x14ac:dyDescent="0.3">
      <c r="A7" s="57"/>
      <c r="B7" s="58">
        <f>SUM(B3:B6)</f>
        <v>603737.80999999994</v>
      </c>
      <c r="C7" s="58">
        <f t="shared" ref="C7:N7" si="0">SUM(C3:C6)</f>
        <v>633545.17999999993</v>
      </c>
      <c r="D7" s="58">
        <f t="shared" si="0"/>
        <v>623118.47</v>
      </c>
      <c r="E7" s="58">
        <f t="shared" si="0"/>
        <v>0</v>
      </c>
      <c r="F7" s="58">
        <f t="shared" si="0"/>
        <v>0</v>
      </c>
      <c r="G7" s="58">
        <f t="shared" si="0"/>
        <v>0</v>
      </c>
      <c r="H7" s="58">
        <f t="shared" si="0"/>
        <v>0</v>
      </c>
      <c r="I7" s="58">
        <f t="shared" si="0"/>
        <v>0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8">
        <f t="shared" si="0"/>
        <v>0</v>
      </c>
      <c r="N7" s="58">
        <f t="shared" si="0"/>
        <v>0</v>
      </c>
      <c r="O7" s="57"/>
    </row>
    <row r="8" spans="1:16" ht="15.75" thickTop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</row>
    <row r="9" spans="1:16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1:16" ht="17.25" x14ac:dyDescent="0.3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6" ht="30" x14ac:dyDescent="0.25">
      <c r="A11" s="8" t="s">
        <v>24</v>
      </c>
      <c r="B11" s="3" t="s">
        <v>9</v>
      </c>
      <c r="C11" s="3" t="s">
        <v>10</v>
      </c>
      <c r="D11" s="3" t="s">
        <v>11</v>
      </c>
      <c r="E11" s="3" t="s">
        <v>12</v>
      </c>
      <c r="F11" s="3" t="s">
        <v>13</v>
      </c>
      <c r="G11" s="3" t="s">
        <v>14</v>
      </c>
      <c r="H11" s="3" t="s">
        <v>15</v>
      </c>
      <c r="I11" s="3" t="s">
        <v>16</v>
      </c>
      <c r="J11" s="3" t="s">
        <v>17</v>
      </c>
      <c r="K11" s="3" t="s">
        <v>18</v>
      </c>
      <c r="L11" s="3" t="s">
        <v>19</v>
      </c>
      <c r="M11" s="3" t="s">
        <v>20</v>
      </c>
      <c r="N11" s="3" t="s">
        <v>21</v>
      </c>
      <c r="O11" s="3" t="s">
        <v>183</v>
      </c>
    </row>
    <row r="12" spans="1:16" x14ac:dyDescent="0.25">
      <c r="A12" t="s">
        <v>115</v>
      </c>
      <c r="B12" s="7">
        <v>290000</v>
      </c>
      <c r="C12" s="2">
        <v>23814.74</v>
      </c>
      <c r="D12" s="2">
        <v>24912.78</v>
      </c>
      <c r="E12" s="2"/>
      <c r="F12" s="2"/>
      <c r="G12" s="2"/>
      <c r="H12" s="2"/>
      <c r="I12" s="2"/>
      <c r="J12" s="2"/>
      <c r="K12" s="2"/>
      <c r="L12" s="2"/>
      <c r="M12" s="2"/>
      <c r="N12" s="12"/>
      <c r="O12" s="4">
        <f>SUM(C12:N12)</f>
        <v>48727.520000000004</v>
      </c>
      <c r="P12" s="9">
        <f>ROUND(AVERAGE(C12:N12),0)</f>
        <v>24364</v>
      </c>
    </row>
    <row r="13" spans="1:16" x14ac:dyDescent="0.25">
      <c r="A13" t="s">
        <v>116</v>
      </c>
      <c r="B13" s="7">
        <v>1000000</v>
      </c>
      <c r="C13" s="2">
        <v>381113.65</v>
      </c>
      <c r="D13" s="2">
        <v>59351.710000000006</v>
      </c>
      <c r="E13" s="2"/>
      <c r="F13" s="2"/>
      <c r="G13" s="2"/>
      <c r="H13" s="2"/>
      <c r="I13" s="7"/>
      <c r="J13" s="2"/>
      <c r="K13" s="2"/>
      <c r="L13" s="2"/>
      <c r="M13" s="2"/>
      <c r="N13" s="15"/>
      <c r="O13" s="5">
        <f t="shared" ref="O13:O25" si="1">SUM(C13:N13)</f>
        <v>440465.36000000004</v>
      </c>
    </row>
    <row r="14" spans="1:16" x14ac:dyDescent="0.25">
      <c r="A14" t="s">
        <v>117</v>
      </c>
      <c r="B14" s="7">
        <v>275000</v>
      </c>
      <c r="C14" s="2">
        <v>79333.58</v>
      </c>
      <c r="D14" s="2">
        <v>71027.67</v>
      </c>
      <c r="E14" s="2"/>
      <c r="F14" s="2"/>
      <c r="G14" s="7"/>
      <c r="H14" s="7"/>
      <c r="I14" s="7"/>
      <c r="J14" s="7"/>
      <c r="K14" s="2"/>
      <c r="L14" s="2"/>
      <c r="M14" s="7"/>
      <c r="N14" s="12"/>
      <c r="O14" s="5">
        <f t="shared" si="1"/>
        <v>150361.25</v>
      </c>
    </row>
    <row r="15" spans="1:16" x14ac:dyDescent="0.25">
      <c r="A15" t="s">
        <v>118</v>
      </c>
      <c r="B15" s="7">
        <v>5000</v>
      </c>
      <c r="C15" s="2"/>
      <c r="D15" s="2">
        <v>155.09</v>
      </c>
      <c r="E15" s="2"/>
      <c r="F15" s="2"/>
      <c r="G15" s="2"/>
      <c r="H15" s="2"/>
      <c r="I15" s="2"/>
      <c r="J15" s="2"/>
      <c r="K15" s="2"/>
      <c r="L15" s="2"/>
      <c r="M15" s="2"/>
      <c r="N15" s="15"/>
      <c r="O15" s="5">
        <f t="shared" si="1"/>
        <v>155.09</v>
      </c>
    </row>
    <row r="16" spans="1:16" x14ac:dyDescent="0.25">
      <c r="A16" t="s">
        <v>290</v>
      </c>
      <c r="B16" s="7">
        <v>75000</v>
      </c>
      <c r="C16" s="2"/>
      <c r="D16" s="2">
        <v>20680.789999999997</v>
      </c>
      <c r="E16" s="2"/>
      <c r="F16" s="2"/>
      <c r="G16" s="2"/>
      <c r="H16" s="2"/>
      <c r="I16" s="2"/>
      <c r="J16" s="2"/>
      <c r="K16" s="2"/>
      <c r="L16" s="2"/>
      <c r="M16" s="2"/>
      <c r="N16" s="15"/>
      <c r="O16" s="5">
        <f t="shared" si="1"/>
        <v>20680.789999999997</v>
      </c>
    </row>
    <row r="17" spans="1:16" x14ac:dyDescent="0.25">
      <c r="A17" t="s">
        <v>309</v>
      </c>
      <c r="B17" s="7">
        <v>10000</v>
      </c>
      <c r="C17" s="2"/>
      <c r="D17" s="2">
        <v>1800</v>
      </c>
      <c r="E17" s="2"/>
      <c r="F17" s="2"/>
      <c r="G17" s="2"/>
      <c r="H17" s="2"/>
      <c r="I17" s="2"/>
      <c r="J17" s="2"/>
      <c r="K17" s="2"/>
      <c r="L17" s="2"/>
      <c r="M17" s="2"/>
      <c r="N17" s="15"/>
      <c r="O17" s="5">
        <f t="shared" si="1"/>
        <v>1800</v>
      </c>
    </row>
    <row r="18" spans="1:16" x14ac:dyDescent="0.25">
      <c r="A18" t="s">
        <v>291</v>
      </c>
      <c r="B18" s="7">
        <v>260000</v>
      </c>
      <c r="C18" s="2"/>
      <c r="D18" s="2">
        <v>29830.720000000001</v>
      </c>
      <c r="E18" s="2"/>
      <c r="F18" s="2"/>
      <c r="G18" s="2"/>
      <c r="H18" s="2"/>
      <c r="I18" s="2"/>
      <c r="J18" s="2"/>
      <c r="K18" s="2"/>
      <c r="L18" s="2"/>
      <c r="M18" s="2"/>
      <c r="N18" s="15"/>
      <c r="O18" s="5">
        <f t="shared" si="1"/>
        <v>29830.720000000001</v>
      </c>
    </row>
    <row r="19" spans="1:16" x14ac:dyDescent="0.25">
      <c r="A19" t="s">
        <v>292</v>
      </c>
      <c r="B19" s="7">
        <f>25000-B21</f>
        <v>24800</v>
      </c>
      <c r="C19" s="2"/>
      <c r="D19" s="2">
        <v>12808.86</v>
      </c>
      <c r="E19" s="2"/>
      <c r="F19" s="2"/>
      <c r="G19" s="2"/>
      <c r="H19" s="2"/>
      <c r="I19" s="2"/>
      <c r="J19" s="2"/>
      <c r="K19" s="2"/>
      <c r="L19" s="2"/>
      <c r="M19" s="2"/>
      <c r="N19" s="12"/>
      <c r="O19" s="5">
        <f t="shared" si="1"/>
        <v>12808.86</v>
      </c>
    </row>
    <row r="20" spans="1:16" x14ac:dyDescent="0.25">
      <c r="A20" t="s">
        <v>293</v>
      </c>
      <c r="B20" s="7">
        <v>190000</v>
      </c>
      <c r="C20" s="2">
        <v>1150</v>
      </c>
      <c r="D20" s="2">
        <v>45487.61</v>
      </c>
      <c r="E20" s="2"/>
      <c r="F20" s="2"/>
      <c r="G20" s="2"/>
      <c r="H20" s="2"/>
      <c r="I20" s="2"/>
      <c r="J20" s="2"/>
      <c r="K20" s="2"/>
      <c r="L20" s="2"/>
      <c r="M20" s="2"/>
      <c r="N20" s="12"/>
      <c r="O20" s="5">
        <f t="shared" si="1"/>
        <v>46637.61</v>
      </c>
    </row>
    <row r="21" spans="1:16" x14ac:dyDescent="0.25">
      <c r="A21" t="s">
        <v>382</v>
      </c>
      <c r="B21" s="7">
        <v>200</v>
      </c>
      <c r="C21" s="2"/>
      <c r="D21" s="2">
        <v>1375</v>
      </c>
      <c r="E21" s="2"/>
      <c r="F21" s="2"/>
      <c r="G21" s="2"/>
      <c r="H21" s="2"/>
      <c r="I21" s="2"/>
      <c r="J21" s="2"/>
      <c r="K21" s="2"/>
      <c r="L21" s="2"/>
      <c r="M21" s="2"/>
      <c r="N21" s="12"/>
      <c r="O21" s="5">
        <f t="shared" si="1"/>
        <v>1375</v>
      </c>
    </row>
    <row r="22" spans="1:16" x14ac:dyDescent="0.25">
      <c r="A22" t="s">
        <v>119</v>
      </c>
      <c r="B22" s="7">
        <v>5000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2"/>
      <c r="O22" s="5">
        <f t="shared" si="1"/>
        <v>0</v>
      </c>
    </row>
    <row r="23" spans="1:16" x14ac:dyDescent="0.25">
      <c r="A23" t="s">
        <v>327</v>
      </c>
      <c r="B23" s="7">
        <v>482022.39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2"/>
      <c r="O23" s="5">
        <f t="shared" si="1"/>
        <v>0</v>
      </c>
    </row>
    <row r="24" spans="1:16" x14ac:dyDescent="0.25">
      <c r="A24" t="s">
        <v>337</v>
      </c>
      <c r="B24" s="7">
        <v>141250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2"/>
      <c r="O24" s="5">
        <f t="shared" si="1"/>
        <v>0</v>
      </c>
    </row>
    <row r="25" spans="1:16" x14ac:dyDescent="0.25">
      <c r="A25" t="s">
        <v>348</v>
      </c>
      <c r="B25" s="7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2"/>
      <c r="O25" s="5">
        <f t="shared" si="1"/>
        <v>0</v>
      </c>
    </row>
    <row r="26" spans="1:16" x14ac:dyDescent="0.25">
      <c r="B26" s="64">
        <f>SUM(B12:B25)</f>
        <v>2758272.39</v>
      </c>
      <c r="C26" s="64">
        <f t="shared" ref="C26:O26" si="2">SUM(C12:C25)</f>
        <v>485411.97000000003</v>
      </c>
      <c r="D26" s="64">
        <f t="shared" si="2"/>
        <v>267430.23</v>
      </c>
      <c r="E26" s="64">
        <f t="shared" si="2"/>
        <v>0</v>
      </c>
      <c r="F26" s="64">
        <f t="shared" si="2"/>
        <v>0</v>
      </c>
      <c r="G26" s="64">
        <f t="shared" si="2"/>
        <v>0</v>
      </c>
      <c r="H26" s="64">
        <f t="shared" si="2"/>
        <v>0</v>
      </c>
      <c r="I26" s="64">
        <f t="shared" si="2"/>
        <v>0</v>
      </c>
      <c r="J26" s="64">
        <f t="shared" si="2"/>
        <v>0</v>
      </c>
      <c r="K26" s="64">
        <f t="shared" si="2"/>
        <v>0</v>
      </c>
      <c r="L26" s="64">
        <f t="shared" si="2"/>
        <v>0</v>
      </c>
      <c r="M26" s="64">
        <f t="shared" si="2"/>
        <v>0</v>
      </c>
      <c r="N26" s="64">
        <f t="shared" si="2"/>
        <v>0</v>
      </c>
      <c r="O26" s="64">
        <f t="shared" si="2"/>
        <v>752842.20000000007</v>
      </c>
      <c r="P26" s="9">
        <f>O26-Summary!C18</f>
        <v>0</v>
      </c>
    </row>
    <row r="27" spans="1:1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3"/>
      <c r="O27" s="2">
        <f>O26-SUM(C12:N25)</f>
        <v>0</v>
      </c>
    </row>
    <row r="28" spans="1:16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3"/>
      <c r="O28" s="5"/>
    </row>
    <row r="29" spans="1:16" s="1" customFormat="1" ht="45" x14ac:dyDescent="0.25">
      <c r="A29" s="8" t="s">
        <v>7</v>
      </c>
      <c r="B29" s="3" t="s">
        <v>9</v>
      </c>
      <c r="C29" s="3" t="s">
        <v>10</v>
      </c>
      <c r="D29" s="3" t="s">
        <v>11</v>
      </c>
      <c r="E29" s="3" t="s">
        <v>12</v>
      </c>
      <c r="F29" s="3" t="s">
        <v>13</v>
      </c>
      <c r="G29" s="3" t="s">
        <v>14</v>
      </c>
      <c r="H29" s="3" t="s">
        <v>15</v>
      </c>
      <c r="I29" s="3" t="s">
        <v>16</v>
      </c>
      <c r="J29" s="3" t="s">
        <v>17</v>
      </c>
      <c r="K29" s="3" t="s">
        <v>18</v>
      </c>
      <c r="L29" s="3" t="s">
        <v>19</v>
      </c>
      <c r="M29" s="3" t="s">
        <v>20</v>
      </c>
      <c r="N29" s="3" t="s">
        <v>21</v>
      </c>
      <c r="O29" s="3" t="s">
        <v>22</v>
      </c>
      <c r="P29" s="63" t="s">
        <v>282</v>
      </c>
    </row>
    <row r="30" spans="1:16" x14ac:dyDescent="0.25">
      <c r="A30" t="s">
        <v>8</v>
      </c>
      <c r="B30" s="7">
        <v>675000</v>
      </c>
      <c r="C30" s="2">
        <v>33641.760000000002</v>
      </c>
      <c r="D30" s="2">
        <v>65906.05</v>
      </c>
      <c r="E30" s="2"/>
      <c r="F30" s="2"/>
      <c r="G30" s="2"/>
      <c r="H30" s="2"/>
      <c r="I30" s="2"/>
      <c r="J30" s="12"/>
      <c r="K30" s="12"/>
      <c r="L30" s="15"/>
      <c r="M30" s="15"/>
      <c r="N30" s="15"/>
      <c r="O30" s="4">
        <f>SUM(C30:N30)</f>
        <v>99547.81</v>
      </c>
      <c r="P30" s="62">
        <f>O30/B30</f>
        <v>0.14747823703703702</v>
      </c>
    </row>
    <row r="31" spans="1:16" x14ac:dyDescent="0.25">
      <c r="A31" t="s">
        <v>0</v>
      </c>
      <c r="B31" s="7">
        <v>190000</v>
      </c>
      <c r="C31" s="2">
        <v>7229.38</v>
      </c>
      <c r="D31" s="2">
        <v>55856.75</v>
      </c>
      <c r="E31" s="2"/>
      <c r="F31" s="2"/>
      <c r="G31" s="2"/>
      <c r="H31" s="2"/>
      <c r="I31" s="7"/>
      <c r="J31" s="12"/>
      <c r="K31" s="12"/>
      <c r="L31" s="15"/>
      <c r="M31" s="15"/>
      <c r="N31" s="15"/>
      <c r="O31" s="5">
        <f t="shared" ref="O31:O38" si="3">SUM(C31:N31)</f>
        <v>63086.13</v>
      </c>
      <c r="P31" s="62">
        <f t="shared" ref="P31:P43" si="4">O31/B31</f>
        <v>0.33203226315789475</v>
      </c>
    </row>
    <row r="32" spans="1:16" x14ac:dyDescent="0.25">
      <c r="A32" t="s">
        <v>1</v>
      </c>
      <c r="B32" s="7">
        <v>100000</v>
      </c>
      <c r="C32" s="2">
        <v>1773.16</v>
      </c>
      <c r="D32" s="2">
        <v>6912.67</v>
      </c>
      <c r="E32" s="2"/>
      <c r="F32" s="2"/>
      <c r="G32" s="7"/>
      <c r="H32" s="7"/>
      <c r="I32" s="7"/>
      <c r="J32" s="15"/>
      <c r="K32" s="15"/>
      <c r="L32" s="15"/>
      <c r="M32" s="15"/>
      <c r="N32" s="15"/>
      <c r="O32" s="5">
        <f t="shared" si="3"/>
        <v>8685.83</v>
      </c>
      <c r="P32" s="62">
        <f t="shared" si="4"/>
        <v>8.6858299999999999E-2</v>
      </c>
    </row>
    <row r="33" spans="1:17" x14ac:dyDescent="0.25">
      <c r="A33" t="s">
        <v>2</v>
      </c>
      <c r="B33" s="7">
        <v>35000</v>
      </c>
      <c r="C33" s="2">
        <v>9338.26</v>
      </c>
      <c r="D33" s="2">
        <v>10570.31</v>
      </c>
      <c r="E33" s="2"/>
      <c r="F33" s="2"/>
      <c r="G33" s="2"/>
      <c r="H33" s="2"/>
      <c r="I33" s="2"/>
      <c r="J33" s="12"/>
      <c r="K33" s="12"/>
      <c r="L33" s="15"/>
      <c r="M33" s="15"/>
      <c r="N33" s="15"/>
      <c r="O33" s="5">
        <f t="shared" si="3"/>
        <v>19908.57</v>
      </c>
      <c r="P33" s="62">
        <f t="shared" si="4"/>
        <v>0.56881628571428566</v>
      </c>
    </row>
    <row r="34" spans="1:17" x14ac:dyDescent="0.25">
      <c r="A34" t="s">
        <v>3</v>
      </c>
      <c r="B34" s="7">
        <v>15000</v>
      </c>
      <c r="C34" s="2">
        <v>105.5</v>
      </c>
      <c r="D34" s="2"/>
      <c r="E34" s="2"/>
      <c r="F34" s="2"/>
      <c r="G34" s="2"/>
      <c r="H34" s="2"/>
      <c r="I34" s="2"/>
      <c r="J34" s="12"/>
      <c r="K34" s="12"/>
      <c r="L34" s="15"/>
      <c r="M34" s="15"/>
      <c r="N34" s="15"/>
      <c r="O34" s="5">
        <f t="shared" si="3"/>
        <v>105.5</v>
      </c>
      <c r="P34" s="62">
        <f t="shared" si="4"/>
        <v>7.0333333333333333E-3</v>
      </c>
    </row>
    <row r="35" spans="1:17" x14ac:dyDescent="0.25">
      <c r="A35" t="s">
        <v>4</v>
      </c>
      <c r="B35" s="7">
        <v>15000</v>
      </c>
      <c r="C35" s="2">
        <v>959.46</v>
      </c>
      <c r="D35" s="2">
        <v>1100.75</v>
      </c>
      <c r="E35" s="2"/>
      <c r="F35" s="2"/>
      <c r="G35" s="2"/>
      <c r="H35" s="2"/>
      <c r="I35" s="2"/>
      <c r="J35" s="12"/>
      <c r="K35" s="12"/>
      <c r="L35" s="15"/>
      <c r="M35" s="15"/>
      <c r="N35" s="15"/>
      <c r="O35" s="5">
        <f t="shared" si="3"/>
        <v>2060.21</v>
      </c>
      <c r="P35" s="62">
        <f t="shared" si="4"/>
        <v>0.13734733333333335</v>
      </c>
    </row>
    <row r="36" spans="1:17" x14ac:dyDescent="0.25">
      <c r="A36" t="s">
        <v>31</v>
      </c>
      <c r="B36" s="7">
        <v>80000</v>
      </c>
      <c r="C36" s="2">
        <v>3970.8</v>
      </c>
      <c r="D36" s="2">
        <v>4465.96</v>
      </c>
      <c r="E36" s="2"/>
      <c r="F36" s="2"/>
      <c r="G36" s="2"/>
      <c r="H36" s="2"/>
      <c r="I36" s="2"/>
      <c r="J36" s="12"/>
      <c r="K36" s="12"/>
      <c r="L36" s="15"/>
      <c r="M36" s="15"/>
      <c r="N36" s="15"/>
      <c r="O36" s="5">
        <f t="shared" si="3"/>
        <v>8436.76</v>
      </c>
      <c r="P36" s="62">
        <f t="shared" si="4"/>
        <v>0.1054595</v>
      </c>
    </row>
    <row r="37" spans="1:17" x14ac:dyDescent="0.25">
      <c r="A37" t="s">
        <v>5</v>
      </c>
      <c r="B37" s="7">
        <v>130000</v>
      </c>
      <c r="C37" s="2">
        <v>18007.5</v>
      </c>
      <c r="D37" s="2">
        <v>18119.7</v>
      </c>
      <c r="E37" s="2"/>
      <c r="F37" s="2"/>
      <c r="G37" s="2"/>
      <c r="H37" s="2"/>
      <c r="I37" s="2"/>
      <c r="J37" s="12"/>
      <c r="K37" s="12"/>
      <c r="L37" s="15"/>
      <c r="M37" s="15"/>
      <c r="N37" s="15"/>
      <c r="O37" s="5">
        <f t="shared" si="3"/>
        <v>36127.199999999997</v>
      </c>
      <c r="P37" s="62">
        <f t="shared" si="4"/>
        <v>0.27790153846153842</v>
      </c>
    </row>
    <row r="38" spans="1:17" x14ac:dyDescent="0.25">
      <c r="A38" t="s">
        <v>6</v>
      </c>
      <c r="B38" s="51">
        <v>135000</v>
      </c>
      <c r="C38" s="2">
        <f>8273.34+0.07</f>
        <v>8273.41</v>
      </c>
      <c r="D38" s="2">
        <f>26953.05+7.18</f>
        <v>26960.23</v>
      </c>
      <c r="E38" s="2"/>
      <c r="F38" s="2"/>
      <c r="G38" s="2"/>
      <c r="H38" s="2"/>
      <c r="I38" s="2"/>
      <c r="J38" s="15"/>
      <c r="K38" s="15"/>
      <c r="L38" s="15"/>
      <c r="M38" s="15"/>
      <c r="N38" s="15"/>
      <c r="O38" s="5">
        <f t="shared" si="3"/>
        <v>35233.64</v>
      </c>
      <c r="P38" s="62">
        <f t="shared" si="4"/>
        <v>0.2609899259259259</v>
      </c>
    </row>
    <row r="39" spans="1:17" x14ac:dyDescent="0.25">
      <c r="A39" t="s">
        <v>27</v>
      </c>
      <c r="B39" s="51">
        <v>50000</v>
      </c>
      <c r="C39" s="2">
        <v>4055.3399999999997</v>
      </c>
      <c r="D39" s="5">
        <f>30698.12-D40</f>
        <v>3219.119999999999</v>
      </c>
      <c r="E39" s="5"/>
      <c r="F39" s="5"/>
      <c r="G39" s="5"/>
      <c r="H39" s="5"/>
      <c r="I39" s="5"/>
      <c r="J39" s="5"/>
      <c r="K39" s="13"/>
      <c r="L39" s="87"/>
      <c r="M39" s="87"/>
      <c r="N39" s="87"/>
      <c r="O39" s="5">
        <f t="shared" ref="O39:O43" si="5">SUM(C39:N39)</f>
        <v>7274.4599999999991</v>
      </c>
      <c r="P39" s="62">
        <f t="shared" si="4"/>
        <v>0.14548919999999999</v>
      </c>
    </row>
    <row r="40" spans="1:17" x14ac:dyDescent="0.25">
      <c r="A40" t="s">
        <v>321</v>
      </c>
      <c r="B40" s="51">
        <v>165000</v>
      </c>
      <c r="C40" s="2"/>
      <c r="D40" s="5">
        <v>27479</v>
      </c>
      <c r="E40" s="5"/>
      <c r="F40" s="5"/>
      <c r="G40" s="5"/>
      <c r="H40" s="5"/>
      <c r="I40" s="5"/>
      <c r="J40" s="13"/>
      <c r="K40" s="13"/>
      <c r="L40" s="87"/>
      <c r="M40" s="87"/>
      <c r="N40" s="87"/>
      <c r="O40" s="5">
        <f t="shared" ref="O40" si="6">SUM(C40:N40)</f>
        <v>27479</v>
      </c>
      <c r="P40" s="62">
        <f t="shared" ref="P40" si="7">O40/B40</f>
        <v>0.16653939393939393</v>
      </c>
    </row>
    <row r="41" spans="1:17" x14ac:dyDescent="0.25">
      <c r="A41" t="s">
        <v>28</v>
      </c>
      <c r="B41" s="51">
        <v>10000</v>
      </c>
      <c r="C41" s="2"/>
      <c r="D41" s="5"/>
      <c r="E41" s="5"/>
      <c r="F41" s="5"/>
      <c r="G41" s="5"/>
      <c r="H41" s="5"/>
      <c r="I41" s="5"/>
      <c r="J41" s="13"/>
      <c r="K41" s="13"/>
      <c r="L41" s="87"/>
      <c r="M41" s="87"/>
      <c r="N41" s="87"/>
      <c r="O41" s="5">
        <f t="shared" si="5"/>
        <v>0</v>
      </c>
      <c r="P41" s="62">
        <f t="shared" si="4"/>
        <v>0</v>
      </c>
    </row>
    <row r="42" spans="1:17" x14ac:dyDescent="0.25">
      <c r="A42" t="s">
        <v>29</v>
      </c>
      <c r="B42" s="51">
        <v>1000000</v>
      </c>
      <c r="C42" s="2">
        <v>279839.45999999996</v>
      </c>
      <c r="D42" s="5">
        <v>57538.16</v>
      </c>
      <c r="E42" s="5"/>
      <c r="F42" s="5"/>
      <c r="G42" s="5"/>
      <c r="H42" s="5"/>
      <c r="I42" s="5"/>
      <c r="J42" s="13"/>
      <c r="K42" s="13"/>
      <c r="L42" s="87"/>
      <c r="M42" s="87"/>
      <c r="N42" s="87"/>
      <c r="O42" s="5">
        <f t="shared" si="5"/>
        <v>337377.62</v>
      </c>
      <c r="P42" s="62">
        <f t="shared" si="4"/>
        <v>0.33737761999999999</v>
      </c>
    </row>
    <row r="43" spans="1:17" x14ac:dyDescent="0.25">
      <c r="A43" t="s">
        <v>30</v>
      </c>
      <c r="B43" s="51">
        <f>50000+248852</f>
        <v>298852</v>
      </c>
      <c r="C43" s="2"/>
      <c r="D43" s="5"/>
      <c r="E43" s="5"/>
      <c r="F43" s="5"/>
      <c r="G43" s="5"/>
      <c r="H43" s="51"/>
      <c r="I43" s="5"/>
      <c r="J43" s="13"/>
      <c r="K43" s="13"/>
      <c r="L43" s="87"/>
      <c r="M43" s="87"/>
      <c r="N43" s="87"/>
      <c r="O43" s="5">
        <f t="shared" si="5"/>
        <v>0</v>
      </c>
      <c r="P43" s="62">
        <f t="shared" si="4"/>
        <v>0</v>
      </c>
    </row>
    <row r="44" spans="1:17" x14ac:dyDescent="0.25">
      <c r="B44" s="64">
        <f t="shared" ref="B44:O44" si="8">SUM(B30:B43)</f>
        <v>2898852</v>
      </c>
      <c r="C44" s="4">
        <f t="shared" si="8"/>
        <v>367194.02999999997</v>
      </c>
      <c r="D44" s="4">
        <f t="shared" si="8"/>
        <v>278128.7</v>
      </c>
      <c r="E44" s="4">
        <f t="shared" si="8"/>
        <v>0</v>
      </c>
      <c r="F44" s="4">
        <f t="shared" si="8"/>
        <v>0</v>
      </c>
      <c r="G44" s="4">
        <f t="shared" si="8"/>
        <v>0</v>
      </c>
      <c r="H44" s="4">
        <f t="shared" si="8"/>
        <v>0</v>
      </c>
      <c r="I44" s="4">
        <f t="shared" si="8"/>
        <v>0</v>
      </c>
      <c r="J44" s="14">
        <f t="shared" si="8"/>
        <v>0</v>
      </c>
      <c r="K44" s="4">
        <f t="shared" si="8"/>
        <v>0</v>
      </c>
      <c r="L44" s="4">
        <f>SUM(L30:L43)</f>
        <v>0</v>
      </c>
      <c r="M44" s="4">
        <f t="shared" si="8"/>
        <v>0</v>
      </c>
      <c r="N44" s="14">
        <f t="shared" si="8"/>
        <v>0</v>
      </c>
      <c r="O44" s="4">
        <f t="shared" si="8"/>
        <v>645322.73</v>
      </c>
      <c r="P44" s="9">
        <f>O44-Summary!C35</f>
        <v>0</v>
      </c>
    </row>
    <row r="45" spans="1:17" x14ac:dyDescent="0.25">
      <c r="B45" s="7"/>
      <c r="C45" s="2"/>
      <c r="D45" s="2"/>
      <c r="E45" s="2"/>
      <c r="F45" s="2"/>
      <c r="G45" s="2"/>
      <c r="H45" s="2"/>
      <c r="I45" s="2"/>
      <c r="J45" s="12"/>
      <c r="K45" s="2"/>
      <c r="L45" s="2"/>
      <c r="M45" s="2"/>
      <c r="N45" s="2"/>
      <c r="O45" s="2">
        <f>O44-SUM(C30:N43)</f>
        <v>0</v>
      </c>
      <c r="Q45" s="9">
        <f>B44-Summary!B35</f>
        <v>0</v>
      </c>
    </row>
    <row r="46" spans="1:17" x14ac:dyDescent="0.25">
      <c r="B46" s="7"/>
      <c r="C46" s="2"/>
      <c r="D46" s="10"/>
      <c r="E46" s="10"/>
      <c r="F46" s="10"/>
      <c r="G46" s="10"/>
      <c r="H46" s="10"/>
      <c r="I46" s="10"/>
      <c r="J46" s="2"/>
      <c r="K46" s="2"/>
      <c r="L46" s="2"/>
      <c r="M46" s="2"/>
      <c r="N46" s="2"/>
    </row>
    <row r="47" spans="1:17" x14ac:dyDescent="0.25">
      <c r="B47" s="6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t="s">
        <v>23</v>
      </c>
      <c r="B48" s="7">
        <v>2898852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f>B44-O44</f>
        <v>2253529.27</v>
      </c>
      <c r="P48" t="s">
        <v>266</v>
      </c>
    </row>
    <row r="49" spans="2:2" x14ac:dyDescent="0.25">
      <c r="B49" s="9">
        <f>B44-B48</f>
        <v>0</v>
      </c>
    </row>
  </sheetData>
  <mergeCells count="1">
    <mergeCell ref="A1:O1"/>
  </mergeCells>
  <phoneticPr fontId="4" type="noConversion"/>
  <conditionalFormatting sqref="B49">
    <cfRule type="cellIs" dxfId="9" priority="1" operator="notEqual">
      <formula>0</formula>
    </cfRule>
  </conditionalFormatting>
  <conditionalFormatting sqref="P26">
    <cfRule type="cellIs" dxfId="8" priority="3" operator="notEqual">
      <formula>0</formula>
    </cfRule>
  </conditionalFormatting>
  <conditionalFormatting sqref="Q45">
    <cfRule type="cellIs" dxfId="7" priority="2" operator="notEqual">
      <formula>0</formula>
    </cfRule>
  </conditionalFormatting>
  <pageMargins left="0.7" right="0.7" top="0.75" bottom="0.75" header="0.3" footer="0.3"/>
  <pageSetup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2444-592B-4FA7-B184-2103A3DAE9D0}">
  <dimension ref="A1:F89"/>
  <sheetViews>
    <sheetView workbookViewId="0">
      <pane ySplit="3" topLeftCell="A58" activePane="bottomLeft" state="frozen"/>
      <selection activeCell="C39" sqref="C39"/>
      <selection pane="bottomLeft" activeCell="C25" sqref="C25"/>
    </sheetView>
  </sheetViews>
  <sheetFormatPr defaultColWidth="10.28515625" defaultRowHeight="15" x14ac:dyDescent="0.25"/>
  <cols>
    <col min="1" max="1" width="6" style="16" bestFit="1" customWidth="1"/>
    <col min="2" max="2" width="28.7109375" style="16" bestFit="1" customWidth="1"/>
    <col min="3" max="3" width="8.140625" style="16" bestFit="1" customWidth="1"/>
    <col min="4" max="4" width="30.28515625" style="16" bestFit="1" customWidth="1"/>
    <col min="5" max="5" width="11.85546875" style="82" bestFit="1" customWidth="1"/>
    <col min="6" max="6" width="6.7109375" style="16" customWidth="1"/>
    <col min="7" max="16384" width="10.28515625" style="16"/>
  </cols>
  <sheetData>
    <row r="1" spans="1:6" x14ac:dyDescent="0.25">
      <c r="A1" s="20" t="s">
        <v>478</v>
      </c>
    </row>
    <row r="2" spans="1:6" ht="7.5" customHeight="1" x14ac:dyDescent="0.25"/>
    <row r="3" spans="1:6" x14ac:dyDescent="0.25">
      <c r="A3" s="19" t="s">
        <v>94</v>
      </c>
      <c r="B3" s="19" t="s">
        <v>153</v>
      </c>
      <c r="C3" s="19" t="s">
        <v>93</v>
      </c>
      <c r="D3" s="19" t="s">
        <v>154</v>
      </c>
      <c r="E3" s="83" t="s">
        <v>25</v>
      </c>
      <c r="F3" s="28">
        <f>SUM(E:E)</f>
        <v>0</v>
      </c>
    </row>
    <row r="4" spans="1:6" x14ac:dyDescent="0.25">
      <c r="A4" s="16" t="s">
        <v>33</v>
      </c>
      <c r="B4" s="16" t="s">
        <v>32</v>
      </c>
      <c r="C4" s="16" t="s">
        <v>86</v>
      </c>
      <c r="D4" s="29" t="s">
        <v>85</v>
      </c>
      <c r="E4" s="2">
        <v>5000</v>
      </c>
    </row>
    <row r="5" spans="1:6" x14ac:dyDescent="0.25">
      <c r="A5" s="16" t="s">
        <v>33</v>
      </c>
      <c r="B5" s="16" t="s">
        <v>32</v>
      </c>
      <c r="C5" s="16" t="s">
        <v>84</v>
      </c>
      <c r="D5" s="29" t="s">
        <v>83</v>
      </c>
      <c r="E5" s="2">
        <v>-29694.239999999991</v>
      </c>
    </row>
    <row r="6" spans="1:6" x14ac:dyDescent="0.25">
      <c r="A6" s="16" t="s">
        <v>33</v>
      </c>
      <c r="B6" s="16" t="s">
        <v>32</v>
      </c>
      <c r="C6" s="16" t="s">
        <v>152</v>
      </c>
      <c r="D6" s="29" t="s">
        <v>151</v>
      </c>
      <c r="E6" s="2">
        <v>-2979.99</v>
      </c>
    </row>
    <row r="7" spans="1:6" x14ac:dyDescent="0.25">
      <c r="A7" s="16" t="s">
        <v>33</v>
      </c>
      <c r="B7" s="16" t="s">
        <v>32</v>
      </c>
      <c r="C7" s="16" t="s">
        <v>407</v>
      </c>
      <c r="D7" s="29" t="s">
        <v>408</v>
      </c>
      <c r="E7" s="2">
        <v>18161.8</v>
      </c>
    </row>
    <row r="8" spans="1:6" x14ac:dyDescent="0.25">
      <c r="A8" s="16" t="s">
        <v>33</v>
      </c>
      <c r="B8" s="16" t="s">
        <v>32</v>
      </c>
      <c r="C8" s="16" t="s">
        <v>82</v>
      </c>
      <c r="D8" s="29" t="s">
        <v>81</v>
      </c>
      <c r="E8" s="2">
        <v>652812.71</v>
      </c>
    </row>
    <row r="9" spans="1:6" x14ac:dyDescent="0.25">
      <c r="A9" s="16" t="s">
        <v>33</v>
      </c>
      <c r="B9" s="16" t="s">
        <v>32</v>
      </c>
      <c r="C9" s="16" t="s">
        <v>80</v>
      </c>
      <c r="D9" s="29" t="s">
        <v>79</v>
      </c>
      <c r="E9" s="2">
        <v>21826.27</v>
      </c>
    </row>
    <row r="10" spans="1:6" x14ac:dyDescent="0.25">
      <c r="A10" s="16" t="s">
        <v>33</v>
      </c>
      <c r="B10" s="16" t="s">
        <v>32</v>
      </c>
      <c r="C10" s="16" t="s">
        <v>78</v>
      </c>
      <c r="D10" s="29" t="s">
        <v>77</v>
      </c>
      <c r="E10" s="2">
        <v>35.619999999999997</v>
      </c>
    </row>
    <row r="11" spans="1:6" x14ac:dyDescent="0.25">
      <c r="A11" s="16" t="s">
        <v>33</v>
      </c>
      <c r="B11" s="16" t="s">
        <v>32</v>
      </c>
      <c r="C11" s="16" t="s">
        <v>74</v>
      </c>
      <c r="D11" s="29" t="s">
        <v>73</v>
      </c>
      <c r="E11" s="2">
        <v>-21826.27</v>
      </c>
    </row>
    <row r="12" spans="1:6" x14ac:dyDescent="0.25">
      <c r="A12" s="16" t="s">
        <v>33</v>
      </c>
      <c r="B12" s="16" t="s">
        <v>32</v>
      </c>
      <c r="C12" s="16" t="s">
        <v>72</v>
      </c>
      <c r="D12" s="29" t="s">
        <v>71</v>
      </c>
      <c r="E12" s="2">
        <v>-1883.32</v>
      </c>
    </row>
    <row r="13" spans="1:6" x14ac:dyDescent="0.25">
      <c r="A13" s="16" t="s">
        <v>33</v>
      </c>
      <c r="B13" s="16" t="s">
        <v>32</v>
      </c>
      <c r="C13" s="16" t="s">
        <v>70</v>
      </c>
      <c r="D13" s="29" t="s">
        <v>69</v>
      </c>
      <c r="E13" s="2">
        <v>-533932.89</v>
      </c>
    </row>
    <row r="14" spans="1:6" x14ac:dyDescent="0.25">
      <c r="A14" s="16" t="s">
        <v>33</v>
      </c>
      <c r="B14" s="16" t="s">
        <v>32</v>
      </c>
      <c r="C14" s="16" t="s">
        <v>90</v>
      </c>
      <c r="D14" s="29" t="s">
        <v>89</v>
      </c>
      <c r="E14" s="2">
        <v>-440465.36</v>
      </c>
    </row>
    <row r="15" spans="1:6" x14ac:dyDescent="0.25">
      <c r="A15" s="16" t="s">
        <v>33</v>
      </c>
      <c r="B15" s="16" t="s">
        <v>32</v>
      </c>
      <c r="C15" s="16" t="s">
        <v>92</v>
      </c>
      <c r="D15" s="29" t="s">
        <v>91</v>
      </c>
      <c r="E15" s="2">
        <v>-48727.519999999997</v>
      </c>
    </row>
    <row r="16" spans="1:6" x14ac:dyDescent="0.25">
      <c r="A16" s="16" t="s">
        <v>33</v>
      </c>
      <c r="B16" s="16" t="s">
        <v>32</v>
      </c>
      <c r="C16" s="16" t="s">
        <v>68</v>
      </c>
      <c r="D16" s="29" t="s">
        <v>67</v>
      </c>
      <c r="E16" s="2">
        <v>-150361.25</v>
      </c>
    </row>
    <row r="17" spans="1:5" x14ac:dyDescent="0.25">
      <c r="A17" s="16" t="s">
        <v>33</v>
      </c>
      <c r="B17" s="16" t="s">
        <v>32</v>
      </c>
      <c r="C17" s="16" t="s">
        <v>479</v>
      </c>
      <c r="D17" s="29" t="s">
        <v>480</v>
      </c>
      <c r="E17" s="2">
        <v>-155.09</v>
      </c>
    </row>
    <row r="18" spans="1:5" x14ac:dyDescent="0.25">
      <c r="A18" s="16" t="s">
        <v>33</v>
      </c>
      <c r="B18" s="16" t="s">
        <v>32</v>
      </c>
      <c r="C18" s="16" t="s">
        <v>66</v>
      </c>
      <c r="D18" s="29" t="s">
        <v>65</v>
      </c>
      <c r="E18" s="2">
        <v>-0.22</v>
      </c>
    </row>
    <row r="19" spans="1:5" x14ac:dyDescent="0.25">
      <c r="A19" s="16" t="s">
        <v>33</v>
      </c>
      <c r="B19" s="16" t="s">
        <v>32</v>
      </c>
      <c r="C19" s="16" t="s">
        <v>481</v>
      </c>
      <c r="D19" s="29" t="s">
        <v>482</v>
      </c>
      <c r="E19" s="2">
        <v>-20680.79</v>
      </c>
    </row>
    <row r="20" spans="1:5" x14ac:dyDescent="0.25">
      <c r="A20" s="16" t="s">
        <v>33</v>
      </c>
      <c r="B20" s="16" t="s">
        <v>32</v>
      </c>
      <c r="C20" s="16" t="s">
        <v>483</v>
      </c>
      <c r="D20" s="29" t="s">
        <v>484</v>
      </c>
      <c r="E20" s="2">
        <v>-1800</v>
      </c>
    </row>
    <row r="21" spans="1:5" x14ac:dyDescent="0.25">
      <c r="A21" s="16" t="s">
        <v>33</v>
      </c>
      <c r="B21" s="16" t="s">
        <v>32</v>
      </c>
      <c r="C21" s="16" t="s">
        <v>485</v>
      </c>
      <c r="D21" s="29" t="s">
        <v>294</v>
      </c>
      <c r="E21" s="2">
        <v>-29830.720000000001</v>
      </c>
    </row>
    <row r="22" spans="1:5" x14ac:dyDescent="0.25">
      <c r="A22" s="16" t="s">
        <v>33</v>
      </c>
      <c r="B22" s="16" t="s">
        <v>32</v>
      </c>
      <c r="C22" s="16" t="s">
        <v>486</v>
      </c>
      <c r="D22" s="29" t="s">
        <v>295</v>
      </c>
      <c r="E22" s="2">
        <v>-12808.86</v>
      </c>
    </row>
    <row r="23" spans="1:5" x14ac:dyDescent="0.25">
      <c r="A23" s="16" t="s">
        <v>33</v>
      </c>
      <c r="B23" s="16" t="s">
        <v>32</v>
      </c>
      <c r="C23" s="16" t="s">
        <v>150</v>
      </c>
      <c r="D23" s="29" t="s">
        <v>149</v>
      </c>
      <c r="E23" s="2">
        <v>-46637.61</v>
      </c>
    </row>
    <row r="24" spans="1:5" x14ac:dyDescent="0.25">
      <c r="A24" s="16" t="s">
        <v>33</v>
      </c>
      <c r="B24" s="16" t="s">
        <v>32</v>
      </c>
      <c r="C24" s="16" t="s">
        <v>487</v>
      </c>
      <c r="D24" s="29" t="s">
        <v>488</v>
      </c>
      <c r="E24" s="2">
        <v>-1375</v>
      </c>
    </row>
    <row r="25" spans="1:5" x14ac:dyDescent="0.25">
      <c r="A25" s="16" t="s">
        <v>33</v>
      </c>
      <c r="B25" s="16" t="s">
        <v>32</v>
      </c>
      <c r="C25" s="16" t="s">
        <v>64</v>
      </c>
      <c r="D25" s="29" t="s">
        <v>63</v>
      </c>
      <c r="E25" s="2">
        <v>70922.509999999995</v>
      </c>
    </row>
    <row r="26" spans="1:5" x14ac:dyDescent="0.25">
      <c r="A26" s="16" t="s">
        <v>33</v>
      </c>
      <c r="B26" s="16" t="s">
        <v>32</v>
      </c>
      <c r="C26" s="16" t="s">
        <v>489</v>
      </c>
      <c r="D26" s="29" t="s">
        <v>490</v>
      </c>
      <c r="E26" s="2">
        <v>396</v>
      </c>
    </row>
    <row r="27" spans="1:5" x14ac:dyDescent="0.25">
      <c r="A27" s="16" t="s">
        <v>33</v>
      </c>
      <c r="B27" s="16" t="s">
        <v>32</v>
      </c>
      <c r="C27" s="16" t="s">
        <v>491</v>
      </c>
      <c r="D27" s="29" t="s">
        <v>492</v>
      </c>
      <c r="E27" s="2">
        <v>974.06</v>
      </c>
    </row>
    <row r="28" spans="1:5" x14ac:dyDescent="0.25">
      <c r="A28" s="16" t="s">
        <v>33</v>
      </c>
      <c r="B28" s="16" t="s">
        <v>32</v>
      </c>
      <c r="C28" s="16" t="s">
        <v>148</v>
      </c>
      <c r="D28" s="29" t="s">
        <v>147</v>
      </c>
      <c r="E28" s="2">
        <v>2585.5</v>
      </c>
    </row>
    <row r="29" spans="1:5" x14ac:dyDescent="0.25">
      <c r="A29" s="16" t="s">
        <v>33</v>
      </c>
      <c r="B29" s="16" t="s">
        <v>32</v>
      </c>
      <c r="C29" s="16" t="s">
        <v>62</v>
      </c>
      <c r="D29" s="29" t="s">
        <v>61</v>
      </c>
      <c r="E29" s="2">
        <v>2768.24</v>
      </c>
    </row>
    <row r="30" spans="1:5" x14ac:dyDescent="0.25">
      <c r="A30" s="16" t="s">
        <v>33</v>
      </c>
      <c r="B30" s="16" t="s">
        <v>32</v>
      </c>
      <c r="C30" s="16" t="s">
        <v>60</v>
      </c>
      <c r="D30" s="29" t="s">
        <v>59</v>
      </c>
      <c r="E30" s="2">
        <v>1922.25</v>
      </c>
    </row>
    <row r="31" spans="1:5" x14ac:dyDescent="0.25">
      <c r="A31" s="16" t="s">
        <v>33</v>
      </c>
      <c r="B31" s="16" t="s">
        <v>32</v>
      </c>
      <c r="C31" s="16" t="s">
        <v>296</v>
      </c>
      <c r="D31" s="29" t="s">
        <v>297</v>
      </c>
      <c r="E31" s="2">
        <v>856.69</v>
      </c>
    </row>
    <row r="32" spans="1:5" x14ac:dyDescent="0.25">
      <c r="A32" s="16" t="s">
        <v>33</v>
      </c>
      <c r="B32" s="16" t="s">
        <v>32</v>
      </c>
      <c r="C32" s="16" t="s">
        <v>58</v>
      </c>
      <c r="D32" s="29" t="s">
        <v>57</v>
      </c>
      <c r="E32" s="2">
        <v>6061.56</v>
      </c>
    </row>
    <row r="33" spans="1:5" x14ac:dyDescent="0.25">
      <c r="A33" s="16" t="s">
        <v>33</v>
      </c>
      <c r="B33" s="16" t="s">
        <v>32</v>
      </c>
      <c r="C33" s="16" t="s">
        <v>56</v>
      </c>
      <c r="D33" s="29" t="s">
        <v>55</v>
      </c>
      <c r="E33" s="2">
        <v>1759.84</v>
      </c>
    </row>
    <row r="34" spans="1:5" x14ac:dyDescent="0.25">
      <c r="A34" s="16" t="s">
        <v>33</v>
      </c>
      <c r="B34" s="16" t="s">
        <v>32</v>
      </c>
      <c r="C34" s="16" t="s">
        <v>54</v>
      </c>
      <c r="D34" s="29" t="s">
        <v>53</v>
      </c>
      <c r="E34" s="2">
        <v>10540</v>
      </c>
    </row>
    <row r="35" spans="1:5" x14ac:dyDescent="0.25">
      <c r="A35" s="16" t="s">
        <v>33</v>
      </c>
      <c r="B35" s="16" t="s">
        <v>32</v>
      </c>
      <c r="C35" s="16" t="s">
        <v>52</v>
      </c>
      <c r="D35" s="29" t="s">
        <v>51</v>
      </c>
      <c r="E35" s="2">
        <v>560.34</v>
      </c>
    </row>
    <row r="36" spans="1:5" x14ac:dyDescent="0.25">
      <c r="A36" s="16" t="s">
        <v>33</v>
      </c>
      <c r="B36" s="16" t="s">
        <v>32</v>
      </c>
      <c r="C36" s="16" t="s">
        <v>50</v>
      </c>
      <c r="D36" s="29" t="s">
        <v>49</v>
      </c>
      <c r="E36" s="2">
        <v>200.82</v>
      </c>
    </row>
    <row r="37" spans="1:5" x14ac:dyDescent="0.25">
      <c r="A37" s="16" t="s">
        <v>33</v>
      </c>
      <c r="B37" s="16" t="s">
        <v>32</v>
      </c>
      <c r="C37" s="16" t="s">
        <v>48</v>
      </c>
      <c r="D37" s="29" t="s">
        <v>47</v>
      </c>
      <c r="E37" s="2">
        <v>11248.88</v>
      </c>
    </row>
    <row r="38" spans="1:5" x14ac:dyDescent="0.25">
      <c r="A38" s="16" t="s">
        <v>33</v>
      </c>
      <c r="B38" s="16" t="s">
        <v>32</v>
      </c>
      <c r="C38" s="16" t="s">
        <v>493</v>
      </c>
      <c r="D38" s="29" t="s">
        <v>494</v>
      </c>
      <c r="E38" s="2">
        <v>33189</v>
      </c>
    </row>
    <row r="39" spans="1:5" x14ac:dyDescent="0.25">
      <c r="A39" s="16" t="s">
        <v>33</v>
      </c>
      <c r="B39" s="16" t="s">
        <v>32</v>
      </c>
      <c r="C39" s="16" t="s">
        <v>495</v>
      </c>
      <c r="D39" s="29" t="s">
        <v>496</v>
      </c>
      <c r="E39" s="2">
        <v>38</v>
      </c>
    </row>
    <row r="40" spans="1:5" x14ac:dyDescent="0.25">
      <c r="A40" s="16" t="s">
        <v>33</v>
      </c>
      <c r="B40" s="16" t="s">
        <v>32</v>
      </c>
      <c r="C40" s="16" t="s">
        <v>497</v>
      </c>
      <c r="D40" s="29" t="s">
        <v>498</v>
      </c>
      <c r="E40" s="2">
        <v>8.0399999999999991</v>
      </c>
    </row>
    <row r="41" spans="1:5" x14ac:dyDescent="0.25">
      <c r="A41" s="16" t="s">
        <v>33</v>
      </c>
      <c r="B41" s="16" t="s">
        <v>32</v>
      </c>
      <c r="C41" s="16" t="s">
        <v>499</v>
      </c>
      <c r="D41" s="29" t="s">
        <v>500</v>
      </c>
      <c r="E41" s="2">
        <v>10144</v>
      </c>
    </row>
    <row r="42" spans="1:5" x14ac:dyDescent="0.25">
      <c r="A42" s="16" t="s">
        <v>33</v>
      </c>
      <c r="B42" s="16" t="s">
        <v>32</v>
      </c>
      <c r="C42" s="16" t="s">
        <v>267</v>
      </c>
      <c r="D42" s="29" t="s">
        <v>322</v>
      </c>
      <c r="E42" s="2">
        <v>230</v>
      </c>
    </row>
    <row r="43" spans="1:5" x14ac:dyDescent="0.25">
      <c r="A43" s="16" t="s">
        <v>33</v>
      </c>
      <c r="B43" s="16" t="s">
        <v>32</v>
      </c>
      <c r="C43" s="16" t="s">
        <v>237</v>
      </c>
      <c r="D43" s="29" t="s">
        <v>315</v>
      </c>
      <c r="E43" s="2">
        <v>305</v>
      </c>
    </row>
    <row r="44" spans="1:5" x14ac:dyDescent="0.25">
      <c r="A44" s="16" t="s">
        <v>33</v>
      </c>
      <c r="B44" s="16" t="s">
        <v>32</v>
      </c>
      <c r="C44" s="16" t="s">
        <v>501</v>
      </c>
      <c r="D44" s="29" t="s">
        <v>502</v>
      </c>
      <c r="E44" s="2">
        <v>1606</v>
      </c>
    </row>
    <row r="45" spans="1:5" x14ac:dyDescent="0.25">
      <c r="A45" s="16" t="s">
        <v>33</v>
      </c>
      <c r="B45" s="16" t="s">
        <v>32</v>
      </c>
      <c r="C45" s="16" t="s">
        <v>46</v>
      </c>
      <c r="D45" s="29" t="s">
        <v>45</v>
      </c>
      <c r="E45" s="2">
        <v>1703.76</v>
      </c>
    </row>
    <row r="46" spans="1:5" x14ac:dyDescent="0.25">
      <c r="A46" s="16" t="s">
        <v>33</v>
      </c>
      <c r="B46" s="16" t="s">
        <v>32</v>
      </c>
      <c r="C46" s="16" t="s">
        <v>503</v>
      </c>
      <c r="D46" s="29" t="s">
        <v>504</v>
      </c>
      <c r="E46" s="2">
        <v>535</v>
      </c>
    </row>
    <row r="47" spans="1:5" x14ac:dyDescent="0.25">
      <c r="A47" s="16" t="s">
        <v>33</v>
      </c>
      <c r="B47" s="16" t="s">
        <v>32</v>
      </c>
      <c r="C47" s="16" t="s">
        <v>505</v>
      </c>
      <c r="D47" s="29" t="s">
        <v>506</v>
      </c>
      <c r="E47" s="2">
        <v>4078.45</v>
      </c>
    </row>
    <row r="48" spans="1:5" x14ac:dyDescent="0.25">
      <c r="A48" s="16" t="s">
        <v>33</v>
      </c>
      <c r="B48" s="16" t="s">
        <v>32</v>
      </c>
      <c r="C48" s="16" t="s">
        <v>44</v>
      </c>
      <c r="D48" s="29" t="s">
        <v>323</v>
      </c>
      <c r="E48" s="2">
        <v>311.97000000000003</v>
      </c>
    </row>
    <row r="49" spans="1:5" x14ac:dyDescent="0.25">
      <c r="A49" s="16" t="s">
        <v>33</v>
      </c>
      <c r="B49" s="16" t="s">
        <v>32</v>
      </c>
      <c r="C49" s="16" t="s">
        <v>507</v>
      </c>
      <c r="D49" s="29" t="s">
        <v>508</v>
      </c>
      <c r="E49" s="2">
        <v>494.29</v>
      </c>
    </row>
    <row r="50" spans="1:5" x14ac:dyDescent="0.25">
      <c r="A50" s="16" t="s">
        <v>33</v>
      </c>
      <c r="B50" s="16" t="s">
        <v>32</v>
      </c>
      <c r="C50" s="16" t="s">
        <v>509</v>
      </c>
      <c r="D50" s="16" t="s">
        <v>510</v>
      </c>
      <c r="E50" s="82">
        <v>190.9</v>
      </c>
    </row>
    <row r="51" spans="1:5" x14ac:dyDescent="0.25">
      <c r="A51" s="16" t="s">
        <v>33</v>
      </c>
      <c r="B51" s="16" t="s">
        <v>32</v>
      </c>
      <c r="C51" s="16" t="s">
        <v>511</v>
      </c>
      <c r="D51" s="16" t="s">
        <v>512</v>
      </c>
      <c r="E51" s="82">
        <v>285.89</v>
      </c>
    </row>
    <row r="52" spans="1:5" x14ac:dyDescent="0.25">
      <c r="A52" s="16" t="s">
        <v>33</v>
      </c>
      <c r="B52" s="16" t="s">
        <v>32</v>
      </c>
      <c r="C52" s="16" t="s">
        <v>387</v>
      </c>
      <c r="D52" s="16" t="s">
        <v>388</v>
      </c>
      <c r="E52" s="82">
        <v>1606.04</v>
      </c>
    </row>
    <row r="53" spans="1:5" x14ac:dyDescent="0.25">
      <c r="A53" s="16" t="s">
        <v>33</v>
      </c>
      <c r="B53" s="16" t="s">
        <v>32</v>
      </c>
      <c r="C53" s="16" t="s">
        <v>43</v>
      </c>
      <c r="D53" s="16" t="s">
        <v>42</v>
      </c>
      <c r="E53" s="82">
        <v>76.17</v>
      </c>
    </row>
    <row r="54" spans="1:5" x14ac:dyDescent="0.25">
      <c r="A54" s="16" t="s">
        <v>33</v>
      </c>
      <c r="B54" s="16" t="s">
        <v>32</v>
      </c>
      <c r="C54" s="16" t="s">
        <v>513</v>
      </c>
      <c r="D54" s="16" t="s">
        <v>514</v>
      </c>
      <c r="E54" s="82">
        <v>4020.44</v>
      </c>
    </row>
    <row r="55" spans="1:5" x14ac:dyDescent="0.25">
      <c r="A55" s="16" t="s">
        <v>33</v>
      </c>
      <c r="B55" s="16" t="s">
        <v>32</v>
      </c>
      <c r="C55" s="16" t="s">
        <v>389</v>
      </c>
      <c r="D55" s="16" t="s">
        <v>390</v>
      </c>
      <c r="E55" s="82">
        <v>1700.13</v>
      </c>
    </row>
    <row r="56" spans="1:5" x14ac:dyDescent="0.25">
      <c r="A56" s="16" t="s">
        <v>33</v>
      </c>
      <c r="B56" s="16" t="s">
        <v>32</v>
      </c>
      <c r="C56" s="16" t="s">
        <v>246</v>
      </c>
      <c r="D56" s="16" t="s">
        <v>247</v>
      </c>
      <c r="E56" s="82">
        <v>8403.08</v>
      </c>
    </row>
    <row r="57" spans="1:5" x14ac:dyDescent="0.25">
      <c r="A57" s="16" t="s">
        <v>33</v>
      </c>
      <c r="B57" s="16" t="s">
        <v>32</v>
      </c>
      <c r="C57" s="16" t="s">
        <v>515</v>
      </c>
      <c r="D57" s="16" t="s">
        <v>516</v>
      </c>
      <c r="E57" s="82">
        <v>2980</v>
      </c>
    </row>
    <row r="58" spans="1:5" x14ac:dyDescent="0.25">
      <c r="A58" s="16" t="s">
        <v>33</v>
      </c>
      <c r="B58" s="16" t="s">
        <v>32</v>
      </c>
      <c r="C58" s="16" t="s">
        <v>417</v>
      </c>
      <c r="D58" s="16" t="s">
        <v>418</v>
      </c>
      <c r="E58" s="82">
        <v>8100</v>
      </c>
    </row>
    <row r="59" spans="1:5" x14ac:dyDescent="0.25">
      <c r="A59" s="16" t="s">
        <v>33</v>
      </c>
      <c r="B59" s="16" t="s">
        <v>32</v>
      </c>
      <c r="C59" s="16" t="s">
        <v>146</v>
      </c>
      <c r="D59" s="16" t="s">
        <v>145</v>
      </c>
      <c r="E59" s="82">
        <v>160.52000000000001</v>
      </c>
    </row>
    <row r="60" spans="1:5" x14ac:dyDescent="0.25">
      <c r="A60" s="16" t="s">
        <v>33</v>
      </c>
      <c r="B60" s="16" t="s">
        <v>32</v>
      </c>
      <c r="C60" s="16" t="s">
        <v>253</v>
      </c>
      <c r="D60" s="16" t="s">
        <v>298</v>
      </c>
      <c r="E60" s="82">
        <v>264.97000000000003</v>
      </c>
    </row>
    <row r="61" spans="1:5" x14ac:dyDescent="0.25">
      <c r="A61" s="16" t="s">
        <v>33</v>
      </c>
      <c r="B61" s="16" t="s">
        <v>32</v>
      </c>
      <c r="C61" s="16" t="s">
        <v>257</v>
      </c>
      <c r="D61" s="16" t="s">
        <v>391</v>
      </c>
      <c r="E61" s="82">
        <v>105.5</v>
      </c>
    </row>
    <row r="62" spans="1:5" x14ac:dyDescent="0.25">
      <c r="A62" s="16" t="s">
        <v>33</v>
      </c>
      <c r="B62" s="16" t="s">
        <v>32</v>
      </c>
      <c r="C62" s="16" t="s">
        <v>144</v>
      </c>
      <c r="D62" s="16" t="s">
        <v>299</v>
      </c>
      <c r="E62" s="82">
        <v>1270</v>
      </c>
    </row>
    <row r="63" spans="1:5" x14ac:dyDescent="0.25">
      <c r="A63" s="16" t="s">
        <v>33</v>
      </c>
      <c r="B63" s="16" t="s">
        <v>32</v>
      </c>
      <c r="C63" s="16" t="s">
        <v>142</v>
      </c>
      <c r="D63" s="16" t="s">
        <v>143</v>
      </c>
      <c r="E63" s="82">
        <v>790.21</v>
      </c>
    </row>
    <row r="64" spans="1:5" x14ac:dyDescent="0.25">
      <c r="A64" s="16" t="s">
        <v>33</v>
      </c>
      <c r="B64" s="16" t="s">
        <v>32</v>
      </c>
      <c r="C64" s="16" t="s">
        <v>41</v>
      </c>
      <c r="D64" s="16" t="s">
        <v>40</v>
      </c>
      <c r="E64" s="82">
        <v>6187.1</v>
      </c>
    </row>
    <row r="65" spans="1:5" x14ac:dyDescent="0.25">
      <c r="A65" s="16" t="s">
        <v>33</v>
      </c>
      <c r="B65" s="16" t="s">
        <v>32</v>
      </c>
      <c r="C65" s="16" t="s">
        <v>517</v>
      </c>
      <c r="D65" s="16" t="s">
        <v>518</v>
      </c>
      <c r="E65" s="82">
        <v>2249.66</v>
      </c>
    </row>
    <row r="66" spans="1:5" x14ac:dyDescent="0.25">
      <c r="A66" s="16" t="s">
        <v>33</v>
      </c>
      <c r="B66" s="16" t="s">
        <v>32</v>
      </c>
      <c r="C66" s="16" t="s">
        <v>519</v>
      </c>
      <c r="D66" s="16" t="s">
        <v>520</v>
      </c>
      <c r="E66" s="82">
        <v>6524</v>
      </c>
    </row>
    <row r="67" spans="1:5" x14ac:dyDescent="0.25">
      <c r="A67" s="16" t="s">
        <v>33</v>
      </c>
      <c r="B67" s="16" t="s">
        <v>32</v>
      </c>
      <c r="C67" s="16" t="s">
        <v>392</v>
      </c>
      <c r="D67" s="16" t="s">
        <v>393</v>
      </c>
      <c r="E67" s="82">
        <v>610.5</v>
      </c>
    </row>
    <row r="68" spans="1:5" x14ac:dyDescent="0.25">
      <c r="A68" s="16" t="s">
        <v>33</v>
      </c>
      <c r="B68" s="16" t="s">
        <v>32</v>
      </c>
      <c r="C68" s="16" t="s">
        <v>398</v>
      </c>
      <c r="D68" s="16" t="s">
        <v>399</v>
      </c>
      <c r="E68" s="82">
        <v>2862</v>
      </c>
    </row>
    <row r="69" spans="1:5" x14ac:dyDescent="0.25">
      <c r="A69" s="16" t="s">
        <v>33</v>
      </c>
      <c r="B69" s="16" t="s">
        <v>32</v>
      </c>
      <c r="C69" s="16" t="s">
        <v>419</v>
      </c>
      <c r="D69" s="16" t="s">
        <v>420</v>
      </c>
      <c r="E69" s="82">
        <v>21300</v>
      </c>
    </row>
    <row r="70" spans="1:5" x14ac:dyDescent="0.25">
      <c r="A70" s="16" t="s">
        <v>33</v>
      </c>
      <c r="B70" s="16" t="s">
        <v>32</v>
      </c>
      <c r="C70" s="16" t="s">
        <v>262</v>
      </c>
      <c r="D70" s="16" t="s">
        <v>263</v>
      </c>
      <c r="E70" s="82">
        <v>335</v>
      </c>
    </row>
    <row r="71" spans="1:5" x14ac:dyDescent="0.25">
      <c r="A71" s="16" t="s">
        <v>33</v>
      </c>
      <c r="B71" s="16" t="s">
        <v>32</v>
      </c>
      <c r="C71" s="16" t="s">
        <v>521</v>
      </c>
      <c r="D71" s="16" t="s">
        <v>522</v>
      </c>
      <c r="E71" s="82">
        <v>3290.7</v>
      </c>
    </row>
    <row r="72" spans="1:5" x14ac:dyDescent="0.25">
      <c r="A72" s="16" t="s">
        <v>33</v>
      </c>
      <c r="B72" s="16" t="s">
        <v>32</v>
      </c>
      <c r="C72" s="16" t="s">
        <v>523</v>
      </c>
      <c r="D72" s="16" t="s">
        <v>524</v>
      </c>
      <c r="E72" s="82">
        <v>1205</v>
      </c>
    </row>
    <row r="73" spans="1:5" x14ac:dyDescent="0.25">
      <c r="A73" s="16" t="s">
        <v>33</v>
      </c>
      <c r="B73" s="16" t="s">
        <v>32</v>
      </c>
      <c r="C73" s="16" t="s">
        <v>238</v>
      </c>
      <c r="D73" s="16" t="s">
        <v>300</v>
      </c>
      <c r="E73" s="82">
        <v>1862.37</v>
      </c>
    </row>
    <row r="74" spans="1:5" x14ac:dyDescent="0.25">
      <c r="A74" s="16" t="s">
        <v>33</v>
      </c>
      <c r="B74" s="16" t="s">
        <v>32</v>
      </c>
      <c r="C74" s="16" t="s">
        <v>525</v>
      </c>
      <c r="D74" s="16" t="s">
        <v>526</v>
      </c>
      <c r="E74" s="82">
        <v>155.5</v>
      </c>
    </row>
    <row r="75" spans="1:5" x14ac:dyDescent="0.25">
      <c r="A75" s="16" t="s">
        <v>33</v>
      </c>
      <c r="B75" s="16" t="s">
        <v>32</v>
      </c>
      <c r="C75" s="16" t="s">
        <v>527</v>
      </c>
      <c r="D75" s="16" t="s">
        <v>528</v>
      </c>
      <c r="E75" s="82">
        <v>3917.93</v>
      </c>
    </row>
    <row r="76" spans="1:5" x14ac:dyDescent="0.25">
      <c r="A76" s="16" t="s">
        <v>33</v>
      </c>
      <c r="B76" s="16" t="s">
        <v>32</v>
      </c>
      <c r="C76" s="16" t="s">
        <v>529</v>
      </c>
      <c r="D76" s="16" t="s">
        <v>530</v>
      </c>
      <c r="E76" s="82">
        <v>89.94</v>
      </c>
    </row>
    <row r="77" spans="1:5" x14ac:dyDescent="0.25">
      <c r="A77" s="16" t="s">
        <v>33</v>
      </c>
      <c r="B77" s="16" t="s">
        <v>32</v>
      </c>
      <c r="C77" s="16" t="s">
        <v>531</v>
      </c>
      <c r="D77" s="16" t="s">
        <v>532</v>
      </c>
      <c r="E77" s="82">
        <v>474.33</v>
      </c>
    </row>
    <row r="78" spans="1:5" x14ac:dyDescent="0.25">
      <c r="A78" s="16" t="s">
        <v>33</v>
      </c>
      <c r="B78" s="16" t="s">
        <v>32</v>
      </c>
      <c r="C78" s="16" t="s">
        <v>533</v>
      </c>
      <c r="D78" s="16" t="s">
        <v>534</v>
      </c>
      <c r="E78" s="82">
        <v>595.83000000000004</v>
      </c>
    </row>
    <row r="79" spans="1:5" x14ac:dyDescent="0.25">
      <c r="A79" s="16" t="s">
        <v>33</v>
      </c>
      <c r="B79" s="16" t="s">
        <v>32</v>
      </c>
      <c r="C79" s="16" t="s">
        <v>39</v>
      </c>
      <c r="D79" s="16" t="s">
        <v>38</v>
      </c>
      <c r="E79" s="82">
        <v>19800.060000000001</v>
      </c>
    </row>
    <row r="80" spans="1:5" x14ac:dyDescent="0.25">
      <c r="A80" s="16" t="s">
        <v>33</v>
      </c>
      <c r="B80" s="16" t="s">
        <v>32</v>
      </c>
      <c r="C80" s="16" t="s">
        <v>535</v>
      </c>
      <c r="D80" s="16" t="s">
        <v>536</v>
      </c>
      <c r="E80" s="82">
        <v>661.43</v>
      </c>
    </row>
    <row r="81" spans="1:5" x14ac:dyDescent="0.25">
      <c r="A81" s="16" t="s">
        <v>33</v>
      </c>
      <c r="B81" s="16" t="s">
        <v>32</v>
      </c>
      <c r="C81" s="16" t="s">
        <v>537</v>
      </c>
      <c r="D81" s="16" t="s">
        <v>538</v>
      </c>
      <c r="E81" s="82">
        <v>7669</v>
      </c>
    </row>
    <row r="82" spans="1:5" x14ac:dyDescent="0.25">
      <c r="A82" s="16" t="s">
        <v>33</v>
      </c>
      <c r="B82" s="16" t="s">
        <v>32</v>
      </c>
      <c r="C82" s="16" t="s">
        <v>88</v>
      </c>
      <c r="D82" s="16" t="s">
        <v>87</v>
      </c>
      <c r="E82" s="82">
        <v>7.25</v>
      </c>
    </row>
    <row r="83" spans="1:5" x14ac:dyDescent="0.25">
      <c r="A83" s="16" t="s">
        <v>33</v>
      </c>
      <c r="B83" s="16" t="s">
        <v>32</v>
      </c>
      <c r="C83" s="16" t="s">
        <v>37</v>
      </c>
      <c r="D83" s="16" t="s">
        <v>36</v>
      </c>
      <c r="E83" s="82">
        <v>6601.92</v>
      </c>
    </row>
    <row r="84" spans="1:5" x14ac:dyDescent="0.25">
      <c r="A84" s="16" t="s">
        <v>33</v>
      </c>
      <c r="B84" s="16" t="s">
        <v>32</v>
      </c>
      <c r="C84" s="16" t="s">
        <v>441</v>
      </c>
      <c r="D84" s="16" t="s">
        <v>442</v>
      </c>
      <c r="E84" s="82">
        <v>554.65</v>
      </c>
    </row>
    <row r="85" spans="1:5" x14ac:dyDescent="0.25">
      <c r="A85" s="16" t="s">
        <v>33</v>
      </c>
      <c r="B85" s="16" t="s">
        <v>32</v>
      </c>
      <c r="C85" s="16" t="s">
        <v>443</v>
      </c>
      <c r="D85" s="16" t="s">
        <v>444</v>
      </c>
      <c r="E85" s="82">
        <v>78.31</v>
      </c>
    </row>
    <row r="86" spans="1:5" x14ac:dyDescent="0.25">
      <c r="A86" s="16" t="s">
        <v>33</v>
      </c>
      <c r="B86" s="16" t="s">
        <v>32</v>
      </c>
      <c r="C86" s="16" t="s">
        <v>400</v>
      </c>
      <c r="D86" s="16" t="s">
        <v>401</v>
      </c>
      <c r="E86" s="82">
        <v>39.58</v>
      </c>
    </row>
    <row r="87" spans="1:5" x14ac:dyDescent="0.25">
      <c r="A87" s="16" t="s">
        <v>33</v>
      </c>
      <c r="B87" s="16" t="s">
        <v>32</v>
      </c>
      <c r="C87" s="16" t="s">
        <v>539</v>
      </c>
      <c r="D87" s="16" t="s">
        <v>540</v>
      </c>
      <c r="E87" s="82">
        <v>27479</v>
      </c>
    </row>
    <row r="88" spans="1:5" x14ac:dyDescent="0.25">
      <c r="A88" s="16" t="s">
        <v>33</v>
      </c>
      <c r="B88" s="16" t="s">
        <v>32</v>
      </c>
      <c r="C88" s="16" t="s">
        <v>445</v>
      </c>
      <c r="D88" s="16" t="s">
        <v>446</v>
      </c>
      <c r="E88" s="82">
        <v>69157.5</v>
      </c>
    </row>
    <row r="89" spans="1:5" x14ac:dyDescent="0.25">
      <c r="A89" s="16" t="s">
        <v>33</v>
      </c>
      <c r="B89" s="16" t="s">
        <v>32</v>
      </c>
      <c r="C89" s="16" t="s">
        <v>239</v>
      </c>
      <c r="D89" s="16" t="s">
        <v>240</v>
      </c>
      <c r="E89" s="82">
        <v>268220.12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C77BC-26AC-46CB-ADC4-E359673A392F}">
  <dimension ref="A1:K6"/>
  <sheetViews>
    <sheetView workbookViewId="0">
      <selection activeCell="C49" sqref="C49"/>
    </sheetView>
  </sheetViews>
  <sheetFormatPr defaultColWidth="10.28515625" defaultRowHeight="15" x14ac:dyDescent="0.25"/>
  <cols>
    <col min="1" max="1" width="11" style="16" customWidth="1"/>
    <col min="2" max="2" width="17.7109375" style="16" bestFit="1" customWidth="1"/>
    <col min="3" max="3" width="8.28515625" style="16" bestFit="1" customWidth="1"/>
    <col min="4" max="4" width="7" style="16" bestFit="1" customWidth="1"/>
    <col min="5" max="5" width="6" style="16" customWidth="1"/>
    <col min="6" max="6" width="6.28515625" style="16" bestFit="1" customWidth="1"/>
    <col min="7" max="7" width="15.42578125" style="16" bestFit="1" customWidth="1"/>
    <col min="8" max="8" width="11.42578125" style="52" bestFit="1" customWidth="1"/>
    <col min="9" max="9" width="11.85546875" style="22" bestFit="1" customWidth="1"/>
    <col min="10" max="10" width="26.5703125" style="16" bestFit="1" customWidth="1"/>
    <col min="11" max="11" width="54" style="16" bestFit="1" customWidth="1"/>
    <col min="12" max="16384" width="10.28515625" style="16"/>
  </cols>
  <sheetData>
    <row r="1" spans="1:11" s="54" customFormat="1" ht="30" x14ac:dyDescent="0.25">
      <c r="A1" s="72" t="s">
        <v>553</v>
      </c>
      <c r="B1" s="72" t="s">
        <v>421</v>
      </c>
      <c r="C1" s="72" t="s">
        <v>93</v>
      </c>
      <c r="D1" s="72" t="s">
        <v>101</v>
      </c>
      <c r="E1" s="72" t="s">
        <v>94</v>
      </c>
      <c r="F1" s="72" t="s">
        <v>99</v>
      </c>
      <c r="G1" s="72" t="s">
        <v>422</v>
      </c>
      <c r="H1" s="95" t="s">
        <v>423</v>
      </c>
      <c r="I1" s="94" t="s">
        <v>424</v>
      </c>
      <c r="J1" s="72" t="s">
        <v>289</v>
      </c>
      <c r="K1" s="72" t="s">
        <v>425</v>
      </c>
    </row>
    <row r="2" spans="1:11" s="16" customFormat="1" x14ac:dyDescent="0.25">
      <c r="A2" s="16" t="s">
        <v>544</v>
      </c>
      <c r="B2" s="16" t="s">
        <v>543</v>
      </c>
      <c r="C2" s="16" t="s">
        <v>44</v>
      </c>
      <c r="D2" s="16" t="s">
        <v>105</v>
      </c>
      <c r="E2" s="16" t="s">
        <v>33</v>
      </c>
      <c r="F2" s="16" t="s">
        <v>215</v>
      </c>
      <c r="G2" s="16" t="s">
        <v>372</v>
      </c>
      <c r="H2" s="52">
        <v>45877</v>
      </c>
      <c r="I2" s="22">
        <v>299.99</v>
      </c>
      <c r="J2" s="16" t="s">
        <v>552</v>
      </c>
      <c r="K2" s="16" t="s">
        <v>551</v>
      </c>
    </row>
    <row r="3" spans="1:11" s="16" customFormat="1" x14ac:dyDescent="0.25">
      <c r="A3" s="16" t="s">
        <v>544</v>
      </c>
      <c r="B3" s="16" t="s">
        <v>543</v>
      </c>
      <c r="C3" s="16" t="s">
        <v>511</v>
      </c>
      <c r="D3" s="16" t="s">
        <v>105</v>
      </c>
      <c r="E3" s="16" t="s">
        <v>33</v>
      </c>
      <c r="F3" s="16" t="s">
        <v>215</v>
      </c>
      <c r="G3" s="16" t="s">
        <v>372</v>
      </c>
      <c r="H3" s="52">
        <v>45875</v>
      </c>
      <c r="I3" s="22">
        <v>247.49</v>
      </c>
      <c r="J3" s="16" t="s">
        <v>550</v>
      </c>
      <c r="K3" s="16" t="s">
        <v>549</v>
      </c>
    </row>
    <row r="4" spans="1:11" s="16" customFormat="1" x14ac:dyDescent="0.25">
      <c r="A4" s="16" t="s">
        <v>544</v>
      </c>
      <c r="B4" s="16" t="s">
        <v>543</v>
      </c>
      <c r="C4" s="16" t="s">
        <v>43</v>
      </c>
      <c r="D4" s="16" t="s">
        <v>105</v>
      </c>
      <c r="E4" s="16" t="s">
        <v>33</v>
      </c>
      <c r="F4" s="16" t="s">
        <v>215</v>
      </c>
      <c r="G4" s="16" t="s">
        <v>372</v>
      </c>
      <c r="H4" s="52">
        <v>45874</v>
      </c>
      <c r="I4" s="22">
        <v>8.49</v>
      </c>
      <c r="J4" s="16" t="s">
        <v>548</v>
      </c>
      <c r="K4" s="16" t="s">
        <v>547</v>
      </c>
    </row>
    <row r="5" spans="1:11" s="16" customFormat="1" x14ac:dyDescent="0.25">
      <c r="A5" s="16" t="s">
        <v>544</v>
      </c>
      <c r="B5" s="16" t="s">
        <v>543</v>
      </c>
      <c r="C5" s="16" t="s">
        <v>37</v>
      </c>
      <c r="D5" s="16" t="s">
        <v>105</v>
      </c>
      <c r="E5" s="16" t="s">
        <v>33</v>
      </c>
      <c r="F5" s="16" t="s">
        <v>215</v>
      </c>
      <c r="G5" s="16" t="s">
        <v>372</v>
      </c>
      <c r="H5" s="52">
        <v>45874</v>
      </c>
      <c r="I5" s="22">
        <v>67.239999999999995</v>
      </c>
      <c r="J5" s="16" t="s">
        <v>546</v>
      </c>
      <c r="K5" s="16" t="s">
        <v>545</v>
      </c>
    </row>
    <row r="6" spans="1:11" s="16" customFormat="1" x14ac:dyDescent="0.25">
      <c r="A6" s="16" t="s">
        <v>544</v>
      </c>
      <c r="B6" s="16" t="s">
        <v>543</v>
      </c>
      <c r="C6" s="16" t="s">
        <v>43</v>
      </c>
      <c r="D6" s="16" t="s">
        <v>105</v>
      </c>
      <c r="E6" s="16" t="s">
        <v>33</v>
      </c>
      <c r="F6" s="16" t="s">
        <v>215</v>
      </c>
      <c r="G6" s="16" t="s">
        <v>372</v>
      </c>
      <c r="H6" s="52">
        <v>45874</v>
      </c>
      <c r="I6" s="22">
        <v>29.99</v>
      </c>
      <c r="J6" s="16" t="s">
        <v>542</v>
      </c>
      <c r="K6" s="16" t="s">
        <v>541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30BC-80E6-4AB4-A928-61C2F9EDF861}">
  <dimension ref="A1:L70"/>
  <sheetViews>
    <sheetView workbookViewId="0">
      <pane ySplit="1" topLeftCell="A2" activePane="bottomLeft" state="frozen"/>
      <selection pane="bottomLeft" activeCell="B50" sqref="B50"/>
    </sheetView>
  </sheetViews>
  <sheetFormatPr defaultColWidth="10.28515625" defaultRowHeight="15" x14ac:dyDescent="0.25"/>
  <cols>
    <col min="1" max="1" width="9.140625" style="16" bestFit="1" customWidth="1"/>
    <col min="2" max="2" width="9" style="16" bestFit="1" customWidth="1"/>
    <col min="3" max="3" width="9.42578125" style="52" bestFit="1" customWidth="1"/>
    <col min="4" max="4" width="10.5703125" style="22" bestFit="1" customWidth="1"/>
    <col min="5" max="5" width="32.5703125" style="16" bestFit="1" customWidth="1"/>
    <col min="6" max="6" width="8.28515625" style="16" bestFit="1" customWidth="1"/>
    <col min="7" max="7" width="6" style="16" customWidth="1"/>
    <col min="8" max="8" width="7" style="16" bestFit="1" customWidth="1"/>
    <col min="9" max="9" width="8.85546875" style="16" bestFit="1" customWidth="1"/>
    <col min="10" max="10" width="9.85546875" style="16" bestFit="1" customWidth="1"/>
    <col min="11" max="11" width="11.5703125" style="16" bestFit="1" customWidth="1"/>
    <col min="12" max="12" width="45" style="16" bestFit="1" customWidth="1"/>
    <col min="13" max="16384" width="10.28515625" style="16"/>
  </cols>
  <sheetData>
    <row r="1" spans="1:12" s="54" customFormat="1" ht="30" x14ac:dyDescent="0.25">
      <c r="A1" s="72" t="s">
        <v>95</v>
      </c>
      <c r="B1" s="72" t="s">
        <v>113</v>
      </c>
      <c r="C1" s="72" t="s">
        <v>112</v>
      </c>
      <c r="D1" s="94" t="s">
        <v>111</v>
      </c>
      <c r="E1" s="72" t="s">
        <v>110</v>
      </c>
      <c r="F1" s="72" t="s">
        <v>93</v>
      </c>
      <c r="G1" s="72" t="s">
        <v>94</v>
      </c>
      <c r="H1" s="72" t="s">
        <v>101</v>
      </c>
      <c r="I1" s="72" t="s">
        <v>100</v>
      </c>
      <c r="J1" s="72" t="s">
        <v>99</v>
      </c>
      <c r="K1" s="72" t="s">
        <v>109</v>
      </c>
      <c r="L1" s="72" t="s">
        <v>108</v>
      </c>
    </row>
    <row r="2" spans="1:12" s="16" customFormat="1" x14ac:dyDescent="0.25">
      <c r="A2" s="16" t="s">
        <v>106</v>
      </c>
      <c r="B2" s="16" t="s">
        <v>674</v>
      </c>
      <c r="C2" s="52">
        <v>45870</v>
      </c>
      <c r="D2" s="22">
        <v>5552.37</v>
      </c>
      <c r="E2" s="16" t="s">
        <v>673</v>
      </c>
      <c r="F2" s="16" t="s">
        <v>246</v>
      </c>
      <c r="G2" s="16" t="s">
        <v>33</v>
      </c>
      <c r="H2" s="16" t="s">
        <v>105</v>
      </c>
      <c r="I2" s="16" t="s">
        <v>448</v>
      </c>
      <c r="J2" s="16" t="s">
        <v>215</v>
      </c>
      <c r="K2" s="16" t="s">
        <v>615</v>
      </c>
      <c r="L2" s="16" t="s">
        <v>614</v>
      </c>
    </row>
    <row r="3" spans="1:12" s="16" customFormat="1" x14ac:dyDescent="0.25">
      <c r="A3" s="16" t="s">
        <v>106</v>
      </c>
      <c r="B3" s="16" t="s">
        <v>672</v>
      </c>
      <c r="C3" s="52">
        <v>45873</v>
      </c>
      <c r="D3" s="22">
        <v>1015</v>
      </c>
      <c r="E3" s="16" t="s">
        <v>671</v>
      </c>
      <c r="F3" s="16" t="s">
        <v>523</v>
      </c>
      <c r="G3" s="16" t="s">
        <v>33</v>
      </c>
      <c r="H3" s="16" t="s">
        <v>107</v>
      </c>
      <c r="I3" s="16" t="s">
        <v>288</v>
      </c>
      <c r="J3" s="16" t="s">
        <v>215</v>
      </c>
      <c r="K3" s="16" t="s">
        <v>670</v>
      </c>
      <c r="L3" s="16" t="s">
        <v>669</v>
      </c>
    </row>
    <row r="4" spans="1:12" s="16" customFormat="1" x14ac:dyDescent="0.25">
      <c r="A4" s="16" t="s">
        <v>106</v>
      </c>
      <c r="B4" s="16" t="s">
        <v>672</v>
      </c>
      <c r="C4" s="52">
        <v>45873</v>
      </c>
      <c r="D4" s="22">
        <v>95</v>
      </c>
      <c r="E4" s="16" t="s">
        <v>671</v>
      </c>
      <c r="F4" s="16" t="s">
        <v>523</v>
      </c>
      <c r="G4" s="16" t="s">
        <v>33</v>
      </c>
      <c r="H4" s="16" t="s">
        <v>107</v>
      </c>
      <c r="I4" s="16" t="s">
        <v>448</v>
      </c>
      <c r="J4" s="16" t="s">
        <v>215</v>
      </c>
      <c r="K4" s="16" t="s">
        <v>670</v>
      </c>
      <c r="L4" s="16" t="s">
        <v>669</v>
      </c>
    </row>
    <row r="5" spans="1:12" s="16" customFormat="1" x14ac:dyDescent="0.25">
      <c r="A5" s="16" t="s">
        <v>106</v>
      </c>
      <c r="B5" s="16" t="s">
        <v>672</v>
      </c>
      <c r="C5" s="52">
        <v>45873</v>
      </c>
      <c r="D5" s="22">
        <v>95</v>
      </c>
      <c r="E5" s="16" t="s">
        <v>671</v>
      </c>
      <c r="F5" s="16" t="s">
        <v>523</v>
      </c>
      <c r="G5" s="16" t="s">
        <v>33</v>
      </c>
      <c r="H5" s="16" t="s">
        <v>107</v>
      </c>
      <c r="I5" s="16" t="s">
        <v>448</v>
      </c>
      <c r="J5" s="16" t="s">
        <v>215</v>
      </c>
      <c r="K5" s="16" t="s">
        <v>670</v>
      </c>
      <c r="L5" s="16" t="s">
        <v>669</v>
      </c>
    </row>
    <row r="6" spans="1:12" s="16" customFormat="1" x14ac:dyDescent="0.25">
      <c r="A6" s="16" t="s">
        <v>106</v>
      </c>
      <c r="B6" s="16" t="s">
        <v>668</v>
      </c>
      <c r="C6" s="52">
        <v>45873</v>
      </c>
      <c r="D6" s="22">
        <v>3215</v>
      </c>
      <c r="E6" s="16" t="s">
        <v>667</v>
      </c>
      <c r="F6" s="16" t="s">
        <v>519</v>
      </c>
      <c r="G6" s="16" t="s">
        <v>33</v>
      </c>
      <c r="H6" s="16" t="s">
        <v>105</v>
      </c>
      <c r="I6" s="16" t="s">
        <v>448</v>
      </c>
      <c r="J6" s="16" t="s">
        <v>215</v>
      </c>
      <c r="K6" s="16" t="s">
        <v>574</v>
      </c>
      <c r="L6" s="16" t="s">
        <v>573</v>
      </c>
    </row>
    <row r="7" spans="1:12" s="16" customFormat="1" x14ac:dyDescent="0.25">
      <c r="A7" s="16" t="s">
        <v>106</v>
      </c>
      <c r="B7" s="16" t="s">
        <v>668</v>
      </c>
      <c r="C7" s="52">
        <v>45873</v>
      </c>
      <c r="D7" s="22">
        <v>2880</v>
      </c>
      <c r="E7" s="16" t="s">
        <v>667</v>
      </c>
      <c r="F7" s="16" t="s">
        <v>519</v>
      </c>
      <c r="G7" s="16" t="s">
        <v>33</v>
      </c>
      <c r="H7" s="16" t="s">
        <v>105</v>
      </c>
      <c r="I7" s="16" t="s">
        <v>448</v>
      </c>
      <c r="J7" s="16" t="s">
        <v>215</v>
      </c>
      <c r="K7" s="16" t="s">
        <v>574</v>
      </c>
      <c r="L7" s="16" t="s">
        <v>573</v>
      </c>
    </row>
    <row r="8" spans="1:12" s="16" customFormat="1" x14ac:dyDescent="0.25">
      <c r="A8" s="16" t="s">
        <v>106</v>
      </c>
      <c r="B8" s="16" t="s">
        <v>666</v>
      </c>
      <c r="C8" s="52">
        <v>45874</v>
      </c>
      <c r="D8" s="22">
        <v>560</v>
      </c>
      <c r="E8" s="16" t="s">
        <v>665</v>
      </c>
      <c r="F8" s="16" t="s">
        <v>389</v>
      </c>
      <c r="G8" s="16" t="s">
        <v>33</v>
      </c>
      <c r="H8" s="16" t="s">
        <v>105</v>
      </c>
      <c r="I8" s="16" t="s">
        <v>448</v>
      </c>
      <c r="J8" s="16" t="s">
        <v>215</v>
      </c>
      <c r="K8" s="16" t="s">
        <v>608</v>
      </c>
      <c r="L8" s="16" t="s">
        <v>607</v>
      </c>
    </row>
    <row r="9" spans="1:12" s="16" customFormat="1" x14ac:dyDescent="0.25">
      <c r="A9" s="16" t="s">
        <v>106</v>
      </c>
      <c r="B9" s="16" t="s">
        <v>666</v>
      </c>
      <c r="C9" s="52">
        <v>45874</v>
      </c>
      <c r="D9" s="22">
        <v>185.48</v>
      </c>
      <c r="E9" s="16" t="s">
        <v>665</v>
      </c>
      <c r="F9" s="16" t="s">
        <v>531</v>
      </c>
      <c r="G9" s="16" t="s">
        <v>33</v>
      </c>
      <c r="H9" s="16" t="s">
        <v>105</v>
      </c>
      <c r="I9" s="16" t="s">
        <v>448</v>
      </c>
      <c r="J9" s="16" t="s">
        <v>215</v>
      </c>
      <c r="K9" s="16" t="s">
        <v>608</v>
      </c>
      <c r="L9" s="16" t="s">
        <v>607</v>
      </c>
    </row>
    <row r="10" spans="1:12" s="16" customFormat="1" x14ac:dyDescent="0.25">
      <c r="A10" s="16" t="s">
        <v>106</v>
      </c>
      <c r="B10" s="16" t="s">
        <v>666</v>
      </c>
      <c r="C10" s="52">
        <v>45874</v>
      </c>
      <c r="D10" s="22">
        <v>190.9</v>
      </c>
      <c r="E10" s="16" t="s">
        <v>665</v>
      </c>
      <c r="F10" s="16" t="s">
        <v>509</v>
      </c>
      <c r="G10" s="16" t="s">
        <v>33</v>
      </c>
      <c r="H10" s="16" t="s">
        <v>105</v>
      </c>
      <c r="I10" s="16" t="s">
        <v>448</v>
      </c>
      <c r="J10" s="16" t="s">
        <v>215</v>
      </c>
      <c r="K10" s="16" t="s">
        <v>608</v>
      </c>
      <c r="L10" s="16" t="s">
        <v>607</v>
      </c>
    </row>
    <row r="11" spans="1:12" s="16" customFormat="1" x14ac:dyDescent="0.25">
      <c r="A11" s="16" t="s">
        <v>106</v>
      </c>
      <c r="B11" s="16" t="s">
        <v>664</v>
      </c>
      <c r="C11" s="52">
        <v>45875</v>
      </c>
      <c r="D11" s="22">
        <v>139.5</v>
      </c>
      <c r="E11" s="16" t="s">
        <v>663</v>
      </c>
      <c r="F11" s="16" t="s">
        <v>37</v>
      </c>
      <c r="G11" s="16" t="s">
        <v>33</v>
      </c>
      <c r="H11" s="16" t="s">
        <v>426</v>
      </c>
      <c r="I11" s="16" t="s">
        <v>448</v>
      </c>
      <c r="J11" s="16" t="s">
        <v>215</v>
      </c>
      <c r="K11" s="16" t="s">
        <v>662</v>
      </c>
      <c r="L11" s="16" t="s">
        <v>661</v>
      </c>
    </row>
    <row r="12" spans="1:12" s="16" customFormat="1" x14ac:dyDescent="0.25">
      <c r="A12" s="16" t="s">
        <v>106</v>
      </c>
      <c r="B12" s="16" t="s">
        <v>660</v>
      </c>
      <c r="C12" s="52">
        <v>45875</v>
      </c>
      <c r="D12" s="22">
        <v>38</v>
      </c>
      <c r="E12" s="16" t="s">
        <v>659</v>
      </c>
      <c r="F12" s="16" t="s">
        <v>495</v>
      </c>
      <c r="G12" s="16" t="s">
        <v>33</v>
      </c>
      <c r="H12" s="16" t="s">
        <v>105</v>
      </c>
      <c r="I12" s="16" t="s">
        <v>448</v>
      </c>
      <c r="J12" s="16" t="s">
        <v>215</v>
      </c>
      <c r="K12" s="16" t="s">
        <v>658</v>
      </c>
      <c r="L12" s="16" t="s">
        <v>657</v>
      </c>
    </row>
    <row r="13" spans="1:12" s="16" customFormat="1" x14ac:dyDescent="0.25">
      <c r="A13" s="16" t="s">
        <v>106</v>
      </c>
      <c r="B13" s="16" t="s">
        <v>656</v>
      </c>
      <c r="C13" s="52">
        <v>45875</v>
      </c>
      <c r="D13" s="22">
        <v>41.54</v>
      </c>
      <c r="E13" s="16" t="s">
        <v>655</v>
      </c>
      <c r="F13" s="16" t="s">
        <v>531</v>
      </c>
      <c r="G13" s="16" t="s">
        <v>33</v>
      </c>
      <c r="H13" s="16" t="s">
        <v>426</v>
      </c>
      <c r="I13" s="16" t="s">
        <v>448</v>
      </c>
      <c r="J13" s="16" t="s">
        <v>215</v>
      </c>
      <c r="K13" s="16" t="s">
        <v>450</v>
      </c>
      <c r="L13" s="16" t="s">
        <v>449</v>
      </c>
    </row>
    <row r="14" spans="1:12" s="16" customFormat="1" x14ac:dyDescent="0.25">
      <c r="A14" s="16" t="s">
        <v>106</v>
      </c>
      <c r="B14" s="16" t="s">
        <v>656</v>
      </c>
      <c r="C14" s="52">
        <v>45875</v>
      </c>
      <c r="D14" s="22">
        <v>211.47</v>
      </c>
      <c r="E14" s="16" t="s">
        <v>655</v>
      </c>
      <c r="F14" s="16" t="s">
        <v>37</v>
      </c>
      <c r="G14" s="16" t="s">
        <v>33</v>
      </c>
      <c r="H14" s="16" t="s">
        <v>426</v>
      </c>
      <c r="I14" s="16" t="s">
        <v>448</v>
      </c>
      <c r="J14" s="16" t="s">
        <v>215</v>
      </c>
      <c r="K14" s="16" t="s">
        <v>450</v>
      </c>
      <c r="L14" s="16" t="s">
        <v>449</v>
      </c>
    </row>
    <row r="15" spans="1:12" s="16" customFormat="1" x14ac:dyDescent="0.25">
      <c r="A15" s="16" t="s">
        <v>106</v>
      </c>
      <c r="B15" s="16" t="s">
        <v>654</v>
      </c>
      <c r="C15" s="52">
        <v>45876</v>
      </c>
      <c r="D15" s="22">
        <v>7100</v>
      </c>
      <c r="E15" s="16" t="s">
        <v>433</v>
      </c>
      <c r="F15" s="16" t="s">
        <v>419</v>
      </c>
      <c r="G15" s="16" t="s">
        <v>33</v>
      </c>
      <c r="H15" s="16" t="s">
        <v>105</v>
      </c>
      <c r="I15" s="16" t="s">
        <v>448</v>
      </c>
      <c r="J15" s="16" t="s">
        <v>215</v>
      </c>
      <c r="K15" s="16" t="s">
        <v>432</v>
      </c>
      <c r="L15" s="16" t="s">
        <v>431</v>
      </c>
    </row>
    <row r="16" spans="1:12" s="16" customFormat="1" x14ac:dyDescent="0.25">
      <c r="A16" s="16" t="s">
        <v>106</v>
      </c>
      <c r="B16" s="16" t="s">
        <v>653</v>
      </c>
      <c r="C16" s="52">
        <v>45876</v>
      </c>
      <c r="D16" s="22">
        <v>429</v>
      </c>
      <c r="E16" s="16" t="s">
        <v>652</v>
      </c>
      <c r="F16" s="16" t="s">
        <v>519</v>
      </c>
      <c r="G16" s="16" t="s">
        <v>33</v>
      </c>
      <c r="H16" s="16" t="s">
        <v>105</v>
      </c>
      <c r="I16" s="16" t="s">
        <v>448</v>
      </c>
      <c r="J16" s="16" t="s">
        <v>215</v>
      </c>
      <c r="K16" s="16" t="s">
        <v>651</v>
      </c>
      <c r="L16" s="16" t="s">
        <v>650</v>
      </c>
    </row>
    <row r="17" spans="1:12" s="16" customFormat="1" x14ac:dyDescent="0.25">
      <c r="A17" s="16" t="s">
        <v>106</v>
      </c>
      <c r="B17" s="16" t="s">
        <v>649</v>
      </c>
      <c r="C17" s="52">
        <v>45877</v>
      </c>
      <c r="D17" s="22">
        <v>79.2</v>
      </c>
      <c r="E17" s="16" t="s">
        <v>430</v>
      </c>
      <c r="F17" s="16" t="s">
        <v>37</v>
      </c>
      <c r="G17" s="16" t="s">
        <v>33</v>
      </c>
      <c r="H17" s="16" t="s">
        <v>426</v>
      </c>
      <c r="I17" s="16" t="s">
        <v>448</v>
      </c>
      <c r="J17" s="16" t="s">
        <v>215</v>
      </c>
      <c r="K17" s="16" t="s">
        <v>429</v>
      </c>
      <c r="L17" s="16" t="s">
        <v>428</v>
      </c>
    </row>
    <row r="18" spans="1:12" s="16" customFormat="1" x14ac:dyDescent="0.25">
      <c r="A18" s="16" t="s">
        <v>106</v>
      </c>
      <c r="B18" s="16" t="s">
        <v>648</v>
      </c>
      <c r="C18" s="52">
        <v>45880</v>
      </c>
      <c r="D18" s="22">
        <v>1768</v>
      </c>
      <c r="E18" s="16" t="s">
        <v>455</v>
      </c>
      <c r="F18" s="16" t="s">
        <v>445</v>
      </c>
      <c r="G18" s="16" t="s">
        <v>33</v>
      </c>
      <c r="H18" s="16" t="s">
        <v>107</v>
      </c>
      <c r="I18" s="16" t="s">
        <v>288</v>
      </c>
      <c r="J18" s="16" t="s">
        <v>215</v>
      </c>
      <c r="K18" s="16" t="s">
        <v>454</v>
      </c>
      <c r="L18" s="16" t="s">
        <v>453</v>
      </c>
    </row>
    <row r="19" spans="1:12" s="16" customFormat="1" x14ac:dyDescent="0.25">
      <c r="A19" s="16" t="s">
        <v>106</v>
      </c>
      <c r="B19" s="16" t="s">
        <v>647</v>
      </c>
      <c r="C19" s="52">
        <v>45880</v>
      </c>
      <c r="D19" s="22">
        <v>109.99</v>
      </c>
      <c r="E19" s="16" t="s">
        <v>243</v>
      </c>
      <c r="F19" s="16" t="s">
        <v>253</v>
      </c>
      <c r="G19" s="16" t="s">
        <v>33</v>
      </c>
      <c r="H19" s="16" t="s">
        <v>107</v>
      </c>
      <c r="I19" s="16" t="s">
        <v>448</v>
      </c>
      <c r="J19" s="16" t="s">
        <v>215</v>
      </c>
      <c r="K19" s="16" t="s">
        <v>242</v>
      </c>
      <c r="L19" s="16" t="s">
        <v>241</v>
      </c>
    </row>
    <row r="20" spans="1:12" s="16" customFormat="1" x14ac:dyDescent="0.25">
      <c r="A20" s="16" t="s">
        <v>106</v>
      </c>
      <c r="B20" s="16" t="s">
        <v>646</v>
      </c>
      <c r="C20" s="52">
        <v>45880</v>
      </c>
      <c r="D20" s="22">
        <v>772.88</v>
      </c>
      <c r="E20" s="16" t="s">
        <v>645</v>
      </c>
      <c r="F20" s="16" t="s">
        <v>46</v>
      </c>
      <c r="G20" s="16" t="s">
        <v>33</v>
      </c>
      <c r="H20" s="16" t="s">
        <v>105</v>
      </c>
      <c r="I20" s="16" t="s">
        <v>448</v>
      </c>
      <c r="J20" s="16" t="s">
        <v>215</v>
      </c>
      <c r="K20" s="16" t="s">
        <v>260</v>
      </c>
      <c r="L20" s="16" t="s">
        <v>259</v>
      </c>
    </row>
    <row r="21" spans="1:12" s="16" customFormat="1" x14ac:dyDescent="0.25">
      <c r="A21" s="16" t="s">
        <v>106</v>
      </c>
      <c r="B21" s="16" t="s">
        <v>644</v>
      </c>
      <c r="C21" s="52">
        <v>45880</v>
      </c>
      <c r="D21" s="22">
        <v>2980</v>
      </c>
      <c r="E21" s="16" t="s">
        <v>643</v>
      </c>
      <c r="F21" s="16" t="s">
        <v>515</v>
      </c>
      <c r="G21" s="16" t="s">
        <v>33</v>
      </c>
      <c r="H21" s="16" t="s">
        <v>107</v>
      </c>
      <c r="I21" s="16" t="s">
        <v>448</v>
      </c>
      <c r="J21" s="16" t="s">
        <v>215</v>
      </c>
      <c r="K21" s="16" t="s">
        <v>642</v>
      </c>
      <c r="L21" s="16" t="s">
        <v>641</v>
      </c>
    </row>
    <row r="22" spans="1:12" s="16" customFormat="1" x14ac:dyDescent="0.25">
      <c r="A22" s="16" t="s">
        <v>106</v>
      </c>
      <c r="B22" s="16" t="s">
        <v>640</v>
      </c>
      <c r="C22" s="52">
        <v>45880</v>
      </c>
      <c r="D22" s="22">
        <v>3290.7</v>
      </c>
      <c r="E22" s="16" t="s">
        <v>639</v>
      </c>
      <c r="F22" s="16" t="s">
        <v>521</v>
      </c>
      <c r="G22" s="16" t="s">
        <v>33</v>
      </c>
      <c r="H22" s="16" t="s">
        <v>107</v>
      </c>
      <c r="I22" s="16" t="s">
        <v>448</v>
      </c>
      <c r="J22" s="16" t="s">
        <v>215</v>
      </c>
      <c r="K22" s="16" t="s">
        <v>638</v>
      </c>
      <c r="L22" s="16" t="s">
        <v>637</v>
      </c>
    </row>
    <row r="23" spans="1:12" s="16" customFormat="1" x14ac:dyDescent="0.25">
      <c r="A23" s="16" t="s">
        <v>106</v>
      </c>
      <c r="B23" s="16" t="s">
        <v>636</v>
      </c>
      <c r="C23" s="52">
        <v>45880</v>
      </c>
      <c r="D23" s="22">
        <v>166.43</v>
      </c>
      <c r="E23" s="16" t="s">
        <v>635</v>
      </c>
      <c r="F23" s="16" t="s">
        <v>527</v>
      </c>
      <c r="G23" s="16" t="s">
        <v>33</v>
      </c>
      <c r="H23" s="16" t="s">
        <v>107</v>
      </c>
      <c r="I23" s="16" t="s">
        <v>288</v>
      </c>
      <c r="J23" s="16" t="s">
        <v>215</v>
      </c>
      <c r="K23" s="16" t="s">
        <v>622</v>
      </c>
      <c r="L23" s="16" t="s">
        <v>621</v>
      </c>
    </row>
    <row r="24" spans="1:12" s="16" customFormat="1" x14ac:dyDescent="0.25">
      <c r="A24" s="16" t="s">
        <v>106</v>
      </c>
      <c r="B24" s="16" t="s">
        <v>634</v>
      </c>
      <c r="C24" s="52">
        <v>45880</v>
      </c>
      <c r="D24" s="22">
        <v>1551.91</v>
      </c>
      <c r="E24" s="16" t="s">
        <v>633</v>
      </c>
      <c r="F24" s="16" t="s">
        <v>527</v>
      </c>
      <c r="G24" s="16" t="s">
        <v>33</v>
      </c>
      <c r="H24" s="16" t="s">
        <v>107</v>
      </c>
      <c r="I24" s="16" t="s">
        <v>288</v>
      </c>
      <c r="J24" s="16" t="s">
        <v>215</v>
      </c>
      <c r="K24" s="16" t="s">
        <v>622</v>
      </c>
      <c r="L24" s="16" t="s">
        <v>621</v>
      </c>
    </row>
    <row r="25" spans="1:12" s="16" customFormat="1" x14ac:dyDescent="0.25">
      <c r="A25" s="16" t="s">
        <v>106</v>
      </c>
      <c r="B25" s="16" t="s">
        <v>632</v>
      </c>
      <c r="C25" s="52">
        <v>45880</v>
      </c>
      <c r="D25" s="22">
        <v>683.15</v>
      </c>
      <c r="E25" s="16" t="s">
        <v>631</v>
      </c>
      <c r="F25" s="16" t="s">
        <v>527</v>
      </c>
      <c r="G25" s="16" t="s">
        <v>33</v>
      </c>
      <c r="H25" s="16" t="s">
        <v>107</v>
      </c>
      <c r="I25" s="16" t="s">
        <v>288</v>
      </c>
      <c r="J25" s="16" t="s">
        <v>215</v>
      </c>
      <c r="K25" s="16" t="s">
        <v>622</v>
      </c>
      <c r="L25" s="16" t="s">
        <v>621</v>
      </c>
    </row>
    <row r="26" spans="1:12" s="16" customFormat="1" x14ac:dyDescent="0.25">
      <c r="A26" s="16" t="s">
        <v>106</v>
      </c>
      <c r="B26" s="16" t="s">
        <v>630</v>
      </c>
      <c r="C26" s="52">
        <v>45880</v>
      </c>
      <c r="D26" s="22">
        <v>304.48</v>
      </c>
      <c r="E26" s="16" t="s">
        <v>629</v>
      </c>
      <c r="F26" s="16" t="s">
        <v>527</v>
      </c>
      <c r="G26" s="16" t="s">
        <v>33</v>
      </c>
      <c r="H26" s="16" t="s">
        <v>107</v>
      </c>
      <c r="I26" s="16" t="s">
        <v>288</v>
      </c>
      <c r="J26" s="16" t="s">
        <v>215</v>
      </c>
      <c r="K26" s="16" t="s">
        <v>622</v>
      </c>
      <c r="L26" s="16" t="s">
        <v>621</v>
      </c>
    </row>
    <row r="27" spans="1:12" s="16" customFormat="1" x14ac:dyDescent="0.25">
      <c r="A27" s="16" t="s">
        <v>106</v>
      </c>
      <c r="B27" s="16" t="s">
        <v>628</v>
      </c>
      <c r="C27" s="52">
        <v>45880</v>
      </c>
      <c r="D27" s="22">
        <v>166.43</v>
      </c>
      <c r="E27" s="16" t="s">
        <v>627</v>
      </c>
      <c r="F27" s="16" t="s">
        <v>527</v>
      </c>
      <c r="G27" s="16" t="s">
        <v>33</v>
      </c>
      <c r="H27" s="16" t="s">
        <v>107</v>
      </c>
      <c r="I27" s="16" t="s">
        <v>288</v>
      </c>
      <c r="J27" s="16" t="s">
        <v>215</v>
      </c>
      <c r="K27" s="16" t="s">
        <v>622</v>
      </c>
      <c r="L27" s="16" t="s">
        <v>621</v>
      </c>
    </row>
    <row r="28" spans="1:12" s="16" customFormat="1" x14ac:dyDescent="0.25">
      <c r="A28" s="16" t="s">
        <v>106</v>
      </c>
      <c r="B28" s="16" t="s">
        <v>626</v>
      </c>
      <c r="C28" s="52">
        <v>45880</v>
      </c>
      <c r="D28" s="22">
        <v>166.43</v>
      </c>
      <c r="E28" s="16" t="s">
        <v>625</v>
      </c>
      <c r="F28" s="16" t="s">
        <v>527</v>
      </c>
      <c r="G28" s="16" t="s">
        <v>33</v>
      </c>
      <c r="H28" s="16" t="s">
        <v>107</v>
      </c>
      <c r="I28" s="16" t="s">
        <v>288</v>
      </c>
      <c r="J28" s="16" t="s">
        <v>215</v>
      </c>
      <c r="K28" s="16" t="s">
        <v>622</v>
      </c>
      <c r="L28" s="16" t="s">
        <v>621</v>
      </c>
    </row>
    <row r="29" spans="1:12" s="16" customFormat="1" x14ac:dyDescent="0.25">
      <c r="A29" s="16" t="s">
        <v>106</v>
      </c>
      <c r="B29" s="16" t="s">
        <v>624</v>
      </c>
      <c r="C29" s="52">
        <v>45880</v>
      </c>
      <c r="D29" s="22">
        <v>166.43</v>
      </c>
      <c r="E29" s="16" t="s">
        <v>623</v>
      </c>
      <c r="F29" s="16" t="s">
        <v>527</v>
      </c>
      <c r="G29" s="16" t="s">
        <v>33</v>
      </c>
      <c r="H29" s="16" t="s">
        <v>107</v>
      </c>
      <c r="I29" s="16" t="s">
        <v>288</v>
      </c>
      <c r="J29" s="16" t="s">
        <v>215</v>
      </c>
      <c r="K29" s="16" t="s">
        <v>622</v>
      </c>
      <c r="L29" s="16" t="s">
        <v>621</v>
      </c>
    </row>
    <row r="30" spans="1:12" s="16" customFormat="1" x14ac:dyDescent="0.25">
      <c r="A30" s="16" t="s">
        <v>106</v>
      </c>
      <c r="B30" s="16" t="s">
        <v>620</v>
      </c>
      <c r="C30" s="52">
        <v>45881</v>
      </c>
      <c r="D30" s="22">
        <v>1560.72</v>
      </c>
      <c r="E30" s="16" t="s">
        <v>619</v>
      </c>
      <c r="F30" s="16" t="s">
        <v>517</v>
      </c>
      <c r="G30" s="16" t="s">
        <v>33</v>
      </c>
      <c r="H30" s="16" t="s">
        <v>105</v>
      </c>
      <c r="I30" s="16" t="s">
        <v>448</v>
      </c>
      <c r="J30" s="16" t="s">
        <v>215</v>
      </c>
      <c r="K30" s="16" t="s">
        <v>596</v>
      </c>
      <c r="L30" s="16" t="s">
        <v>595</v>
      </c>
    </row>
    <row r="31" spans="1:12" s="16" customFormat="1" x14ac:dyDescent="0.25">
      <c r="A31" s="16" t="s">
        <v>106</v>
      </c>
      <c r="B31" s="16" t="s">
        <v>618</v>
      </c>
      <c r="C31" s="52">
        <v>45881</v>
      </c>
      <c r="D31" s="22">
        <v>1956.25</v>
      </c>
      <c r="E31" s="16" t="s">
        <v>460</v>
      </c>
      <c r="F31" s="16" t="s">
        <v>48</v>
      </c>
      <c r="G31" s="16" t="s">
        <v>33</v>
      </c>
      <c r="H31" s="16" t="s">
        <v>107</v>
      </c>
      <c r="I31" s="16" t="s">
        <v>448</v>
      </c>
      <c r="J31" s="16" t="s">
        <v>215</v>
      </c>
      <c r="K31" s="16" t="s">
        <v>459</v>
      </c>
      <c r="L31" s="16" t="s">
        <v>458</v>
      </c>
    </row>
    <row r="32" spans="1:12" s="16" customFormat="1" x14ac:dyDescent="0.25">
      <c r="A32" s="16" t="s">
        <v>106</v>
      </c>
      <c r="B32" s="16" t="s">
        <v>617</v>
      </c>
      <c r="C32" s="52">
        <v>45881</v>
      </c>
      <c r="D32" s="22">
        <v>1850.71</v>
      </c>
      <c r="E32" s="16" t="s">
        <v>616</v>
      </c>
      <c r="F32" s="16" t="s">
        <v>246</v>
      </c>
      <c r="G32" s="16" t="s">
        <v>33</v>
      </c>
      <c r="H32" s="16" t="s">
        <v>105</v>
      </c>
      <c r="I32" s="16" t="s">
        <v>448</v>
      </c>
      <c r="J32" s="16" t="s">
        <v>215</v>
      </c>
      <c r="K32" s="16" t="s">
        <v>615</v>
      </c>
      <c r="L32" s="16" t="s">
        <v>614</v>
      </c>
    </row>
    <row r="33" spans="1:12" s="16" customFormat="1" x14ac:dyDescent="0.25">
      <c r="A33" s="16" t="s">
        <v>106</v>
      </c>
      <c r="B33" s="16" t="s">
        <v>613</v>
      </c>
      <c r="C33" s="52">
        <v>45881</v>
      </c>
      <c r="D33" s="22">
        <v>102.72</v>
      </c>
      <c r="E33" s="16" t="s">
        <v>580</v>
      </c>
      <c r="F33" s="16" t="s">
        <v>41</v>
      </c>
      <c r="G33" s="16" t="s">
        <v>33</v>
      </c>
      <c r="H33" s="16" t="s">
        <v>105</v>
      </c>
      <c r="I33" s="16" t="s">
        <v>448</v>
      </c>
      <c r="J33" s="16" t="s">
        <v>215</v>
      </c>
      <c r="K33" s="16" t="s">
        <v>187</v>
      </c>
      <c r="L33" s="16" t="s">
        <v>186</v>
      </c>
    </row>
    <row r="34" spans="1:12" s="16" customFormat="1" x14ac:dyDescent="0.25">
      <c r="A34" s="16" t="s">
        <v>106</v>
      </c>
      <c r="B34" s="16" t="s">
        <v>612</v>
      </c>
      <c r="C34" s="52">
        <v>45881</v>
      </c>
      <c r="D34" s="22">
        <v>40.6</v>
      </c>
      <c r="E34" s="16" t="s">
        <v>580</v>
      </c>
      <c r="F34" s="16" t="s">
        <v>41</v>
      </c>
      <c r="G34" s="16" t="s">
        <v>33</v>
      </c>
      <c r="H34" s="16" t="s">
        <v>105</v>
      </c>
      <c r="I34" s="16" t="s">
        <v>448</v>
      </c>
      <c r="J34" s="16" t="s">
        <v>215</v>
      </c>
      <c r="K34" s="16" t="s">
        <v>187</v>
      </c>
      <c r="L34" s="16" t="s">
        <v>186</v>
      </c>
    </row>
    <row r="35" spans="1:12" s="16" customFormat="1" x14ac:dyDescent="0.25">
      <c r="A35" s="16" t="s">
        <v>106</v>
      </c>
      <c r="B35" s="16" t="s">
        <v>611</v>
      </c>
      <c r="C35" s="52">
        <v>45881</v>
      </c>
      <c r="D35" s="22">
        <v>85.58</v>
      </c>
      <c r="E35" s="16" t="s">
        <v>580</v>
      </c>
      <c r="F35" s="16" t="s">
        <v>41</v>
      </c>
      <c r="G35" s="16" t="s">
        <v>33</v>
      </c>
      <c r="H35" s="16" t="s">
        <v>105</v>
      </c>
      <c r="I35" s="16" t="s">
        <v>448</v>
      </c>
      <c r="J35" s="16" t="s">
        <v>215</v>
      </c>
      <c r="K35" s="16" t="s">
        <v>187</v>
      </c>
      <c r="L35" s="16" t="s">
        <v>186</v>
      </c>
    </row>
    <row r="36" spans="1:12" s="16" customFormat="1" x14ac:dyDescent="0.25">
      <c r="A36" s="16" t="s">
        <v>106</v>
      </c>
      <c r="B36" s="16" t="s">
        <v>610</v>
      </c>
      <c r="C36" s="52">
        <v>45881</v>
      </c>
      <c r="D36" s="22">
        <v>371</v>
      </c>
      <c r="E36" s="16" t="s">
        <v>609</v>
      </c>
      <c r="F36" s="16" t="s">
        <v>389</v>
      </c>
      <c r="G36" s="16" t="s">
        <v>33</v>
      </c>
      <c r="H36" s="16" t="s">
        <v>105</v>
      </c>
      <c r="I36" s="16" t="s">
        <v>448</v>
      </c>
      <c r="J36" s="16" t="s">
        <v>215</v>
      </c>
      <c r="K36" s="16" t="s">
        <v>608</v>
      </c>
      <c r="L36" s="16" t="s">
        <v>607</v>
      </c>
    </row>
    <row r="37" spans="1:12" s="16" customFormat="1" x14ac:dyDescent="0.25">
      <c r="A37" s="16" t="s">
        <v>106</v>
      </c>
      <c r="B37" s="16" t="s">
        <v>610</v>
      </c>
      <c r="C37" s="52">
        <v>45881</v>
      </c>
      <c r="D37" s="22">
        <v>154.21</v>
      </c>
      <c r="E37" s="16" t="s">
        <v>609</v>
      </c>
      <c r="F37" s="16" t="s">
        <v>531</v>
      </c>
      <c r="G37" s="16" t="s">
        <v>33</v>
      </c>
      <c r="H37" s="16" t="s">
        <v>105</v>
      </c>
      <c r="I37" s="16" t="s">
        <v>448</v>
      </c>
      <c r="J37" s="16" t="s">
        <v>215</v>
      </c>
      <c r="K37" s="16" t="s">
        <v>608</v>
      </c>
      <c r="L37" s="16" t="s">
        <v>607</v>
      </c>
    </row>
    <row r="38" spans="1:12" s="16" customFormat="1" x14ac:dyDescent="0.25">
      <c r="A38" s="16" t="s">
        <v>106</v>
      </c>
      <c r="B38" s="16" t="s">
        <v>606</v>
      </c>
      <c r="C38" s="52">
        <v>45881</v>
      </c>
      <c r="D38" s="22">
        <v>27479</v>
      </c>
      <c r="E38" s="16" t="s">
        <v>605</v>
      </c>
      <c r="F38" s="16" t="s">
        <v>539</v>
      </c>
      <c r="G38" s="16" t="s">
        <v>33</v>
      </c>
      <c r="H38" s="16" t="s">
        <v>426</v>
      </c>
      <c r="I38" s="16" t="s">
        <v>448</v>
      </c>
      <c r="J38" s="16" t="s">
        <v>215</v>
      </c>
      <c r="K38" s="16" t="s">
        <v>604</v>
      </c>
      <c r="L38" s="16" t="s">
        <v>603</v>
      </c>
    </row>
    <row r="39" spans="1:12" s="16" customFormat="1" x14ac:dyDescent="0.25">
      <c r="A39" s="16" t="s">
        <v>106</v>
      </c>
      <c r="B39" s="16" t="s">
        <v>602</v>
      </c>
      <c r="C39" s="52">
        <v>45881</v>
      </c>
      <c r="D39" s="22">
        <v>688.94</v>
      </c>
      <c r="E39" s="16" t="s">
        <v>601</v>
      </c>
      <c r="F39" s="16" t="s">
        <v>517</v>
      </c>
      <c r="G39" s="16" t="s">
        <v>33</v>
      </c>
      <c r="H39" s="16" t="s">
        <v>107</v>
      </c>
      <c r="I39" s="16" t="s">
        <v>448</v>
      </c>
      <c r="J39" s="16" t="s">
        <v>215</v>
      </c>
      <c r="K39" s="16" t="s">
        <v>600</v>
      </c>
      <c r="L39" s="16" t="s">
        <v>599</v>
      </c>
    </row>
    <row r="40" spans="1:12" s="16" customFormat="1" x14ac:dyDescent="0.25">
      <c r="A40" s="16" t="s">
        <v>106</v>
      </c>
      <c r="B40" s="16" t="s">
        <v>598</v>
      </c>
      <c r="C40" s="52">
        <v>45882</v>
      </c>
      <c r="D40" s="22">
        <v>55770.16</v>
      </c>
      <c r="E40" s="16" t="s">
        <v>434</v>
      </c>
      <c r="F40" s="16" t="s">
        <v>239</v>
      </c>
      <c r="G40" s="16" t="s">
        <v>33</v>
      </c>
      <c r="H40" s="16" t="s">
        <v>105</v>
      </c>
      <c r="I40" s="16" t="s">
        <v>448</v>
      </c>
      <c r="J40" s="16" t="s">
        <v>215</v>
      </c>
      <c r="K40" s="16" t="s">
        <v>269</v>
      </c>
      <c r="L40" s="16" t="s">
        <v>268</v>
      </c>
    </row>
    <row r="41" spans="1:12" s="16" customFormat="1" x14ac:dyDescent="0.25">
      <c r="A41" s="16" t="s">
        <v>106</v>
      </c>
      <c r="B41" s="16" t="s">
        <v>597</v>
      </c>
      <c r="C41" s="52">
        <v>45882</v>
      </c>
      <c r="D41" s="22">
        <v>-927.27</v>
      </c>
      <c r="F41" s="16" t="s">
        <v>84</v>
      </c>
      <c r="G41" s="16" t="s">
        <v>33</v>
      </c>
      <c r="K41" s="16" t="s">
        <v>596</v>
      </c>
      <c r="L41" s="16" t="s">
        <v>595</v>
      </c>
    </row>
    <row r="42" spans="1:12" s="16" customFormat="1" x14ac:dyDescent="0.25">
      <c r="A42" s="16" t="s">
        <v>106</v>
      </c>
      <c r="B42" s="16" t="s">
        <v>594</v>
      </c>
      <c r="C42" s="52">
        <v>45883</v>
      </c>
      <c r="D42" s="22">
        <v>206.11</v>
      </c>
      <c r="E42" s="16" t="s">
        <v>451</v>
      </c>
      <c r="F42" s="16" t="s">
        <v>142</v>
      </c>
      <c r="G42" s="16" t="s">
        <v>33</v>
      </c>
      <c r="H42" s="16" t="s">
        <v>105</v>
      </c>
      <c r="I42" s="16" t="s">
        <v>288</v>
      </c>
      <c r="J42" s="16" t="s">
        <v>215</v>
      </c>
      <c r="K42" s="16" t="s">
        <v>265</v>
      </c>
      <c r="L42" s="16" t="s">
        <v>264</v>
      </c>
    </row>
    <row r="43" spans="1:12" s="16" customFormat="1" x14ac:dyDescent="0.25">
      <c r="A43" s="16" t="s">
        <v>106</v>
      </c>
      <c r="B43" s="16" t="s">
        <v>593</v>
      </c>
      <c r="C43" s="52">
        <v>45883</v>
      </c>
      <c r="D43" s="22">
        <v>23.76</v>
      </c>
      <c r="E43" s="16" t="s">
        <v>580</v>
      </c>
      <c r="F43" s="16" t="s">
        <v>41</v>
      </c>
      <c r="G43" s="16" t="s">
        <v>33</v>
      </c>
      <c r="H43" s="16" t="s">
        <v>105</v>
      </c>
      <c r="I43" s="16" t="s">
        <v>448</v>
      </c>
      <c r="J43" s="16" t="s">
        <v>215</v>
      </c>
      <c r="K43" s="16" t="s">
        <v>187</v>
      </c>
      <c r="L43" s="16" t="s">
        <v>186</v>
      </c>
    </row>
    <row r="44" spans="1:12" s="16" customFormat="1" x14ac:dyDescent="0.25">
      <c r="A44" s="16" t="s">
        <v>106</v>
      </c>
      <c r="B44" s="16" t="s">
        <v>592</v>
      </c>
      <c r="C44" s="52">
        <v>45883</v>
      </c>
      <c r="D44" s="22">
        <v>331.16</v>
      </c>
      <c r="E44" s="16" t="s">
        <v>580</v>
      </c>
      <c r="F44" s="16" t="s">
        <v>41</v>
      </c>
      <c r="G44" s="16" t="s">
        <v>33</v>
      </c>
      <c r="H44" s="16" t="s">
        <v>105</v>
      </c>
      <c r="I44" s="16" t="s">
        <v>448</v>
      </c>
      <c r="J44" s="16" t="s">
        <v>215</v>
      </c>
      <c r="K44" s="16" t="s">
        <v>187</v>
      </c>
      <c r="L44" s="16" t="s">
        <v>186</v>
      </c>
    </row>
    <row r="45" spans="1:12" s="16" customFormat="1" x14ac:dyDescent="0.25">
      <c r="A45" s="16" t="s">
        <v>106</v>
      </c>
      <c r="B45" s="16" t="s">
        <v>591</v>
      </c>
      <c r="C45" s="52">
        <v>45883</v>
      </c>
      <c r="D45" s="22">
        <v>206.74</v>
      </c>
      <c r="E45" s="16" t="s">
        <v>580</v>
      </c>
      <c r="F45" s="16" t="s">
        <v>41</v>
      </c>
      <c r="G45" s="16" t="s">
        <v>33</v>
      </c>
      <c r="H45" s="16" t="s">
        <v>105</v>
      </c>
      <c r="I45" s="16" t="s">
        <v>448</v>
      </c>
      <c r="J45" s="16" t="s">
        <v>215</v>
      </c>
      <c r="K45" s="16" t="s">
        <v>187</v>
      </c>
      <c r="L45" s="16" t="s">
        <v>186</v>
      </c>
    </row>
    <row r="46" spans="1:12" s="16" customFormat="1" x14ac:dyDescent="0.25">
      <c r="A46" s="16" t="s">
        <v>106</v>
      </c>
      <c r="B46" s="16" t="s">
        <v>590</v>
      </c>
      <c r="C46" s="52">
        <v>45883</v>
      </c>
      <c r="D46" s="22">
        <v>22.05</v>
      </c>
      <c r="E46" s="16" t="s">
        <v>589</v>
      </c>
      <c r="F46" s="16" t="s">
        <v>41</v>
      </c>
      <c r="G46" s="16" t="s">
        <v>33</v>
      </c>
      <c r="H46" s="16" t="s">
        <v>105</v>
      </c>
      <c r="I46" s="16" t="s">
        <v>448</v>
      </c>
      <c r="J46" s="16" t="s">
        <v>215</v>
      </c>
      <c r="K46" s="16" t="s">
        <v>187</v>
      </c>
      <c r="L46" s="16" t="s">
        <v>186</v>
      </c>
    </row>
    <row r="47" spans="1:12" s="16" customFormat="1" x14ac:dyDescent="0.25">
      <c r="A47" s="16" t="s">
        <v>106</v>
      </c>
      <c r="B47" s="16" t="s">
        <v>588</v>
      </c>
      <c r="C47" s="52">
        <v>45883</v>
      </c>
      <c r="D47" s="22">
        <v>24.2</v>
      </c>
      <c r="E47" s="16" t="s">
        <v>580</v>
      </c>
      <c r="F47" s="16" t="s">
        <v>41</v>
      </c>
      <c r="G47" s="16" t="s">
        <v>33</v>
      </c>
      <c r="H47" s="16" t="s">
        <v>105</v>
      </c>
      <c r="I47" s="16" t="s">
        <v>448</v>
      </c>
      <c r="J47" s="16" t="s">
        <v>215</v>
      </c>
      <c r="K47" s="16" t="s">
        <v>187</v>
      </c>
      <c r="L47" s="16" t="s">
        <v>186</v>
      </c>
    </row>
    <row r="48" spans="1:12" s="16" customFormat="1" x14ac:dyDescent="0.25">
      <c r="A48" s="16" t="s">
        <v>106</v>
      </c>
      <c r="B48" s="16" t="s">
        <v>587</v>
      </c>
      <c r="C48" s="52">
        <v>45883</v>
      </c>
      <c r="D48" s="22">
        <v>22.78</v>
      </c>
      <c r="E48" s="16" t="s">
        <v>580</v>
      </c>
      <c r="F48" s="16" t="s">
        <v>41</v>
      </c>
      <c r="G48" s="16" t="s">
        <v>33</v>
      </c>
      <c r="H48" s="16" t="s">
        <v>105</v>
      </c>
      <c r="I48" s="16" t="s">
        <v>448</v>
      </c>
      <c r="J48" s="16" t="s">
        <v>215</v>
      </c>
      <c r="K48" s="16" t="s">
        <v>187</v>
      </c>
      <c r="L48" s="16" t="s">
        <v>186</v>
      </c>
    </row>
    <row r="49" spans="1:12" s="16" customFormat="1" x14ac:dyDescent="0.25">
      <c r="A49" s="16" t="s">
        <v>106</v>
      </c>
      <c r="B49" s="16" t="s">
        <v>586</v>
      </c>
      <c r="C49" s="52">
        <v>45883</v>
      </c>
      <c r="D49" s="22">
        <v>55.18</v>
      </c>
      <c r="E49" s="16" t="s">
        <v>580</v>
      </c>
      <c r="F49" s="16" t="s">
        <v>41</v>
      </c>
      <c r="G49" s="16" t="s">
        <v>33</v>
      </c>
      <c r="H49" s="16" t="s">
        <v>105</v>
      </c>
      <c r="I49" s="16" t="s">
        <v>448</v>
      </c>
      <c r="J49" s="16" t="s">
        <v>215</v>
      </c>
      <c r="K49" s="16" t="s">
        <v>187</v>
      </c>
      <c r="L49" s="16" t="s">
        <v>186</v>
      </c>
    </row>
    <row r="50" spans="1:12" s="16" customFormat="1" x14ac:dyDescent="0.25">
      <c r="A50" s="16" t="s">
        <v>106</v>
      </c>
      <c r="B50" s="16" t="s">
        <v>585</v>
      </c>
      <c r="C50" s="52">
        <v>45883</v>
      </c>
      <c r="D50" s="22">
        <v>109.13</v>
      </c>
      <c r="E50" s="16" t="s">
        <v>580</v>
      </c>
      <c r="F50" s="16" t="s">
        <v>41</v>
      </c>
      <c r="G50" s="16" t="s">
        <v>33</v>
      </c>
      <c r="H50" s="16" t="s">
        <v>105</v>
      </c>
      <c r="I50" s="16" t="s">
        <v>448</v>
      </c>
      <c r="J50" s="16" t="s">
        <v>215</v>
      </c>
      <c r="K50" s="16" t="s">
        <v>187</v>
      </c>
      <c r="L50" s="16" t="s">
        <v>186</v>
      </c>
    </row>
    <row r="51" spans="1:12" s="16" customFormat="1" x14ac:dyDescent="0.25">
      <c r="A51" s="16" t="s">
        <v>106</v>
      </c>
      <c r="B51" s="16" t="s">
        <v>584</v>
      </c>
      <c r="C51" s="52">
        <v>45883</v>
      </c>
      <c r="D51" s="22">
        <v>116.27</v>
      </c>
      <c r="E51" s="16" t="s">
        <v>580</v>
      </c>
      <c r="F51" s="16" t="s">
        <v>41</v>
      </c>
      <c r="G51" s="16" t="s">
        <v>33</v>
      </c>
      <c r="H51" s="16" t="s">
        <v>105</v>
      </c>
      <c r="I51" s="16" t="s">
        <v>448</v>
      </c>
      <c r="J51" s="16" t="s">
        <v>215</v>
      </c>
      <c r="K51" s="16" t="s">
        <v>187</v>
      </c>
      <c r="L51" s="16" t="s">
        <v>186</v>
      </c>
    </row>
    <row r="52" spans="1:12" s="16" customFormat="1" x14ac:dyDescent="0.25">
      <c r="A52" s="16" t="s">
        <v>106</v>
      </c>
      <c r="B52" s="16" t="s">
        <v>583</v>
      </c>
      <c r="C52" s="52">
        <v>45883</v>
      </c>
      <c r="D52" s="22">
        <v>29.34</v>
      </c>
      <c r="E52" s="16" t="s">
        <v>580</v>
      </c>
      <c r="F52" s="16" t="s">
        <v>41</v>
      </c>
      <c r="G52" s="16" t="s">
        <v>33</v>
      </c>
      <c r="H52" s="16" t="s">
        <v>105</v>
      </c>
      <c r="I52" s="16" t="s">
        <v>448</v>
      </c>
      <c r="J52" s="16" t="s">
        <v>215</v>
      </c>
      <c r="K52" s="16" t="s">
        <v>187</v>
      </c>
      <c r="L52" s="16" t="s">
        <v>186</v>
      </c>
    </row>
    <row r="53" spans="1:12" s="16" customFormat="1" x14ac:dyDescent="0.25">
      <c r="A53" s="16" t="s">
        <v>106</v>
      </c>
      <c r="B53" s="16" t="s">
        <v>582</v>
      </c>
      <c r="C53" s="52">
        <v>45883</v>
      </c>
      <c r="D53" s="22">
        <v>34.46</v>
      </c>
      <c r="E53" s="16" t="s">
        <v>580</v>
      </c>
      <c r="F53" s="16" t="s">
        <v>41</v>
      </c>
      <c r="G53" s="16" t="s">
        <v>33</v>
      </c>
      <c r="H53" s="16" t="s">
        <v>105</v>
      </c>
      <c r="I53" s="16" t="s">
        <v>448</v>
      </c>
      <c r="J53" s="16" t="s">
        <v>215</v>
      </c>
      <c r="K53" s="16" t="s">
        <v>187</v>
      </c>
      <c r="L53" s="16" t="s">
        <v>186</v>
      </c>
    </row>
    <row r="54" spans="1:12" s="16" customFormat="1" x14ac:dyDescent="0.25">
      <c r="A54" s="16" t="s">
        <v>106</v>
      </c>
      <c r="B54" s="16" t="s">
        <v>581</v>
      </c>
      <c r="C54" s="52">
        <v>45883</v>
      </c>
      <c r="D54" s="22">
        <v>39.03</v>
      </c>
      <c r="E54" s="16" t="s">
        <v>580</v>
      </c>
      <c r="F54" s="16" t="s">
        <v>41</v>
      </c>
      <c r="G54" s="16" t="s">
        <v>33</v>
      </c>
      <c r="H54" s="16" t="s">
        <v>105</v>
      </c>
      <c r="I54" s="16" t="s">
        <v>448</v>
      </c>
      <c r="J54" s="16" t="s">
        <v>215</v>
      </c>
      <c r="K54" s="16" t="s">
        <v>187</v>
      </c>
      <c r="L54" s="16" t="s">
        <v>186</v>
      </c>
    </row>
    <row r="55" spans="1:12" s="16" customFormat="1" x14ac:dyDescent="0.25">
      <c r="A55" s="16" t="s">
        <v>106</v>
      </c>
      <c r="B55" s="16" t="s">
        <v>579</v>
      </c>
      <c r="C55" s="52">
        <v>45889</v>
      </c>
      <c r="D55" s="22">
        <v>77.239999999999995</v>
      </c>
      <c r="E55" s="16" t="s">
        <v>578</v>
      </c>
      <c r="F55" s="16" t="s">
        <v>146</v>
      </c>
      <c r="G55" s="16" t="s">
        <v>33</v>
      </c>
      <c r="H55" s="16" t="s">
        <v>105</v>
      </c>
      <c r="I55" s="16" t="s">
        <v>448</v>
      </c>
      <c r="J55" s="16" t="s">
        <v>215</v>
      </c>
      <c r="K55" s="16" t="s">
        <v>207</v>
      </c>
      <c r="L55" s="16" t="s">
        <v>206</v>
      </c>
    </row>
    <row r="56" spans="1:12" s="16" customFormat="1" x14ac:dyDescent="0.25">
      <c r="A56" s="16" t="s">
        <v>106</v>
      </c>
      <c r="B56" s="16" t="s">
        <v>577</v>
      </c>
      <c r="C56" s="52">
        <v>45896</v>
      </c>
      <c r="D56" s="22">
        <v>344.64</v>
      </c>
      <c r="E56" s="16" t="s">
        <v>451</v>
      </c>
      <c r="F56" s="16" t="s">
        <v>142</v>
      </c>
      <c r="G56" s="16" t="s">
        <v>33</v>
      </c>
      <c r="H56" s="16" t="s">
        <v>105</v>
      </c>
      <c r="I56" s="16" t="s">
        <v>448</v>
      </c>
      <c r="J56" s="16" t="s">
        <v>215</v>
      </c>
      <c r="K56" s="16" t="s">
        <v>265</v>
      </c>
      <c r="L56" s="16" t="s">
        <v>264</v>
      </c>
    </row>
    <row r="57" spans="1:12" s="16" customFormat="1" x14ac:dyDescent="0.25">
      <c r="A57" s="16" t="s">
        <v>106</v>
      </c>
      <c r="B57" s="16" t="s">
        <v>576</v>
      </c>
      <c r="C57" s="52">
        <v>45896</v>
      </c>
      <c r="D57" s="22">
        <v>1655</v>
      </c>
      <c r="E57" s="16" t="s">
        <v>575</v>
      </c>
      <c r="F57" s="16" t="s">
        <v>48</v>
      </c>
      <c r="G57" s="16" t="s">
        <v>33</v>
      </c>
      <c r="H57" s="16" t="s">
        <v>105</v>
      </c>
      <c r="I57" s="16" t="s">
        <v>448</v>
      </c>
      <c r="J57" s="16" t="s">
        <v>215</v>
      </c>
      <c r="K57" s="16" t="s">
        <v>574</v>
      </c>
      <c r="L57" s="16" t="s">
        <v>573</v>
      </c>
    </row>
    <row r="58" spans="1:12" s="16" customFormat="1" x14ac:dyDescent="0.25">
      <c r="A58" s="16" t="s">
        <v>106</v>
      </c>
      <c r="B58" s="16" t="s">
        <v>572</v>
      </c>
      <c r="C58" s="52">
        <v>45897</v>
      </c>
      <c r="D58" s="22">
        <v>790</v>
      </c>
      <c r="E58" s="16" t="s">
        <v>571</v>
      </c>
      <c r="F58" s="16" t="s">
        <v>37</v>
      </c>
      <c r="G58" s="16" t="s">
        <v>33</v>
      </c>
      <c r="H58" s="16" t="s">
        <v>426</v>
      </c>
      <c r="I58" s="16" t="s">
        <v>448</v>
      </c>
      <c r="J58" s="16" t="s">
        <v>215</v>
      </c>
      <c r="K58" s="16" t="s">
        <v>570</v>
      </c>
      <c r="L58" s="16" t="s">
        <v>569</v>
      </c>
    </row>
    <row r="59" spans="1:12" s="16" customFormat="1" x14ac:dyDescent="0.25">
      <c r="A59" s="16" t="s">
        <v>106</v>
      </c>
      <c r="B59" s="16" t="s">
        <v>572</v>
      </c>
      <c r="C59" s="52">
        <v>45897</v>
      </c>
      <c r="D59" s="22">
        <v>93.1</v>
      </c>
      <c r="E59" s="16" t="s">
        <v>571</v>
      </c>
      <c r="F59" s="16" t="s">
        <v>531</v>
      </c>
      <c r="G59" s="16" t="s">
        <v>33</v>
      </c>
      <c r="H59" s="16" t="s">
        <v>426</v>
      </c>
      <c r="I59" s="16" t="s">
        <v>448</v>
      </c>
      <c r="J59" s="16" t="s">
        <v>215</v>
      </c>
      <c r="K59" s="16" t="s">
        <v>570</v>
      </c>
      <c r="L59" s="16" t="s">
        <v>569</v>
      </c>
    </row>
    <row r="60" spans="1:12" s="16" customFormat="1" x14ac:dyDescent="0.25">
      <c r="A60" s="16" t="s">
        <v>106</v>
      </c>
      <c r="B60" s="16" t="s">
        <v>568</v>
      </c>
      <c r="C60" s="52">
        <v>45897</v>
      </c>
      <c r="D60" s="22">
        <v>94.05</v>
      </c>
      <c r="E60" s="16" t="s">
        <v>430</v>
      </c>
      <c r="F60" s="16" t="s">
        <v>37</v>
      </c>
      <c r="G60" s="16" t="s">
        <v>33</v>
      </c>
      <c r="H60" s="16" t="s">
        <v>426</v>
      </c>
      <c r="I60" s="16" t="s">
        <v>448</v>
      </c>
      <c r="J60" s="16" t="s">
        <v>215</v>
      </c>
      <c r="K60" s="16" t="s">
        <v>429</v>
      </c>
      <c r="L60" s="16" t="s">
        <v>428</v>
      </c>
    </row>
    <row r="61" spans="1:12" s="16" customFormat="1" x14ac:dyDescent="0.25">
      <c r="A61" s="16" t="s">
        <v>106</v>
      </c>
      <c r="B61" s="16" t="s">
        <v>567</v>
      </c>
      <c r="C61" s="52">
        <v>45897</v>
      </c>
      <c r="D61" s="22">
        <v>2010.22</v>
      </c>
      <c r="E61" s="16" t="s">
        <v>566</v>
      </c>
      <c r="F61" s="16" t="s">
        <v>513</v>
      </c>
      <c r="G61" s="16" t="s">
        <v>33</v>
      </c>
      <c r="H61" s="16" t="s">
        <v>105</v>
      </c>
      <c r="I61" s="16" t="s">
        <v>288</v>
      </c>
      <c r="J61" s="16" t="s">
        <v>215</v>
      </c>
      <c r="K61" s="16" t="s">
        <v>565</v>
      </c>
      <c r="L61" s="16" t="s">
        <v>564</v>
      </c>
    </row>
    <row r="62" spans="1:12" s="16" customFormat="1" x14ac:dyDescent="0.25">
      <c r="A62" s="16" t="s">
        <v>106</v>
      </c>
      <c r="B62" s="16" t="s">
        <v>567</v>
      </c>
      <c r="C62" s="52">
        <v>45897</v>
      </c>
      <c r="D62" s="22">
        <v>2010.22</v>
      </c>
      <c r="E62" s="16" t="s">
        <v>566</v>
      </c>
      <c r="F62" s="16" t="s">
        <v>513</v>
      </c>
      <c r="G62" s="16" t="s">
        <v>33</v>
      </c>
      <c r="H62" s="16" t="s">
        <v>105</v>
      </c>
      <c r="I62" s="16" t="s">
        <v>448</v>
      </c>
      <c r="J62" s="16" t="s">
        <v>215</v>
      </c>
      <c r="K62" s="16" t="s">
        <v>565</v>
      </c>
      <c r="L62" s="16" t="s">
        <v>564</v>
      </c>
    </row>
    <row r="63" spans="1:12" s="16" customFormat="1" x14ac:dyDescent="0.25">
      <c r="A63" s="16" t="s">
        <v>106</v>
      </c>
      <c r="B63" s="16" t="s">
        <v>563</v>
      </c>
      <c r="C63" s="52">
        <v>45897</v>
      </c>
      <c r="D63" s="22">
        <v>1025</v>
      </c>
      <c r="E63" s="16" t="s">
        <v>460</v>
      </c>
      <c r="F63" s="16" t="s">
        <v>48</v>
      </c>
      <c r="G63" s="16" t="s">
        <v>33</v>
      </c>
      <c r="H63" s="16" t="s">
        <v>107</v>
      </c>
      <c r="I63" s="16" t="s">
        <v>448</v>
      </c>
      <c r="J63" s="16" t="s">
        <v>215</v>
      </c>
      <c r="K63" s="16" t="s">
        <v>459</v>
      </c>
      <c r="L63" s="16" t="s">
        <v>458</v>
      </c>
    </row>
    <row r="64" spans="1:12" s="16" customFormat="1" x14ac:dyDescent="0.25">
      <c r="A64" s="16" t="s">
        <v>106</v>
      </c>
      <c r="B64" s="16" t="s">
        <v>563</v>
      </c>
      <c r="C64" s="52">
        <v>45897</v>
      </c>
      <c r="D64" s="22">
        <v>478.13</v>
      </c>
      <c r="E64" s="16" t="s">
        <v>460</v>
      </c>
      <c r="F64" s="16" t="s">
        <v>48</v>
      </c>
      <c r="G64" s="16" t="s">
        <v>33</v>
      </c>
      <c r="H64" s="16" t="s">
        <v>107</v>
      </c>
      <c r="I64" s="16" t="s">
        <v>448</v>
      </c>
      <c r="J64" s="16" t="s">
        <v>215</v>
      </c>
      <c r="K64" s="16" t="s">
        <v>459</v>
      </c>
      <c r="L64" s="16" t="s">
        <v>458</v>
      </c>
    </row>
    <row r="65" spans="1:12" s="16" customFormat="1" x14ac:dyDescent="0.25">
      <c r="A65" s="16" t="s">
        <v>106</v>
      </c>
      <c r="B65" s="16" t="s">
        <v>562</v>
      </c>
      <c r="C65" s="52">
        <v>45897</v>
      </c>
      <c r="D65" s="22">
        <v>264.12</v>
      </c>
      <c r="E65" s="16" t="s">
        <v>561</v>
      </c>
      <c r="F65" s="16" t="s">
        <v>389</v>
      </c>
      <c r="G65" s="16" t="s">
        <v>33</v>
      </c>
      <c r="H65" s="16" t="s">
        <v>105</v>
      </c>
      <c r="I65" s="16" t="s">
        <v>448</v>
      </c>
      <c r="J65" s="16" t="s">
        <v>215</v>
      </c>
      <c r="K65" s="16" t="s">
        <v>457</v>
      </c>
      <c r="L65" s="16" t="s">
        <v>560</v>
      </c>
    </row>
    <row r="66" spans="1:12" s="16" customFormat="1" x14ac:dyDescent="0.25">
      <c r="A66" s="16" t="s">
        <v>106</v>
      </c>
      <c r="B66" s="16" t="s">
        <v>562</v>
      </c>
      <c r="C66" s="52">
        <v>45897</v>
      </c>
      <c r="D66" s="22">
        <v>313.2</v>
      </c>
      <c r="E66" s="16" t="s">
        <v>561</v>
      </c>
      <c r="F66" s="16" t="s">
        <v>389</v>
      </c>
      <c r="G66" s="16" t="s">
        <v>33</v>
      </c>
      <c r="H66" s="16" t="s">
        <v>105</v>
      </c>
      <c r="I66" s="16" t="s">
        <v>448</v>
      </c>
      <c r="J66" s="16" t="s">
        <v>215</v>
      </c>
      <c r="K66" s="16" t="s">
        <v>457</v>
      </c>
      <c r="L66" s="16" t="s">
        <v>560</v>
      </c>
    </row>
    <row r="67" spans="1:12" s="16" customFormat="1" x14ac:dyDescent="0.25">
      <c r="A67" s="16" t="s">
        <v>106</v>
      </c>
      <c r="B67" s="16" t="s">
        <v>559</v>
      </c>
      <c r="C67" s="52">
        <v>45897</v>
      </c>
      <c r="D67" s="22">
        <v>22.78</v>
      </c>
      <c r="E67" s="16" t="s">
        <v>557</v>
      </c>
      <c r="F67" s="16" t="s">
        <v>41</v>
      </c>
      <c r="G67" s="16" t="s">
        <v>33</v>
      </c>
      <c r="H67" s="16" t="s">
        <v>107</v>
      </c>
      <c r="I67" s="16" t="s">
        <v>448</v>
      </c>
      <c r="J67" s="16" t="s">
        <v>215</v>
      </c>
      <c r="K67" s="16" t="s">
        <v>187</v>
      </c>
      <c r="L67" s="16" t="s">
        <v>186</v>
      </c>
    </row>
    <row r="68" spans="1:12" s="16" customFormat="1" x14ac:dyDescent="0.25">
      <c r="A68" s="16" t="s">
        <v>106</v>
      </c>
      <c r="B68" s="16" t="s">
        <v>558</v>
      </c>
      <c r="C68" s="52">
        <v>45897</v>
      </c>
      <c r="D68" s="22">
        <v>48.15</v>
      </c>
      <c r="E68" s="16" t="s">
        <v>557</v>
      </c>
      <c r="F68" s="16" t="s">
        <v>41</v>
      </c>
      <c r="G68" s="16" t="s">
        <v>33</v>
      </c>
      <c r="H68" s="16" t="s">
        <v>107</v>
      </c>
      <c r="I68" s="16" t="s">
        <v>448</v>
      </c>
      <c r="J68" s="16" t="s">
        <v>215</v>
      </c>
      <c r="K68" s="16" t="s">
        <v>187</v>
      </c>
      <c r="L68" s="16" t="s">
        <v>186</v>
      </c>
    </row>
    <row r="69" spans="1:12" s="16" customFormat="1" x14ac:dyDescent="0.25">
      <c r="A69" s="16" t="s">
        <v>106</v>
      </c>
      <c r="B69" s="16" t="s">
        <v>556</v>
      </c>
      <c r="C69" s="52">
        <v>45897</v>
      </c>
      <c r="D69" s="22">
        <v>681.9</v>
      </c>
      <c r="E69" s="16" t="s">
        <v>554</v>
      </c>
      <c r="F69" s="16" t="s">
        <v>41</v>
      </c>
      <c r="G69" s="16" t="s">
        <v>33</v>
      </c>
      <c r="H69" s="16" t="s">
        <v>107</v>
      </c>
      <c r="I69" s="16" t="s">
        <v>448</v>
      </c>
      <c r="J69" s="16" t="s">
        <v>215</v>
      </c>
      <c r="K69" s="16" t="s">
        <v>187</v>
      </c>
      <c r="L69" s="16" t="s">
        <v>186</v>
      </c>
    </row>
    <row r="70" spans="1:12" s="16" customFormat="1" x14ac:dyDescent="0.25">
      <c r="A70" s="16" t="s">
        <v>106</v>
      </c>
      <c r="B70" s="16" t="s">
        <v>555</v>
      </c>
      <c r="C70" s="52">
        <v>45897</v>
      </c>
      <c r="D70" s="22">
        <v>220.47</v>
      </c>
      <c r="E70" s="16" t="s">
        <v>554</v>
      </c>
      <c r="F70" s="16" t="s">
        <v>41</v>
      </c>
      <c r="G70" s="16" t="s">
        <v>33</v>
      </c>
      <c r="H70" s="16" t="s">
        <v>107</v>
      </c>
      <c r="I70" s="16" t="s">
        <v>448</v>
      </c>
      <c r="J70" s="16" t="s">
        <v>215</v>
      </c>
      <c r="K70" s="16" t="s">
        <v>187</v>
      </c>
      <c r="L70" s="16" t="s">
        <v>186</v>
      </c>
    </row>
  </sheetData>
  <autoFilter ref="A1:L70" xr:uid="{00000000-0001-0000-00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DEA3-C725-4C66-B2CE-0479F0117064}">
  <dimension ref="A1:O20"/>
  <sheetViews>
    <sheetView zoomScaleNormal="100" workbookViewId="0">
      <pane ySplit="3" topLeftCell="A4" activePane="bottomLeft" state="frozen"/>
      <selection pane="bottomLeft" activeCell="A21" sqref="A21"/>
    </sheetView>
  </sheetViews>
  <sheetFormatPr defaultRowHeight="15" x14ac:dyDescent="0.25"/>
  <cols>
    <col min="1" max="1" width="11" customWidth="1"/>
    <col min="2" max="2" width="11.5703125" style="10" bestFit="1" customWidth="1"/>
    <col min="3" max="3" width="26.7109375" bestFit="1" customWidth="1"/>
    <col min="4" max="4" width="7" bestFit="1" customWidth="1"/>
    <col min="5" max="5" width="8.140625" bestFit="1" customWidth="1"/>
    <col min="6" max="6" width="6" bestFit="1" customWidth="1"/>
    <col min="7" max="7" width="7" bestFit="1" customWidth="1"/>
    <col min="8" max="8" width="8.42578125" bestFit="1" customWidth="1"/>
    <col min="9" max="9" width="9.42578125" bestFit="1" customWidth="1"/>
    <col min="10" max="10" width="7.42578125" hidden="1" customWidth="1"/>
    <col min="11" max="11" width="11.5703125" bestFit="1" customWidth="1"/>
    <col min="12" max="12" width="51" bestFit="1" customWidth="1"/>
    <col min="13" max="13" width="6.5703125" hidden="1" customWidth="1"/>
    <col min="14" max="14" width="9" bestFit="1" customWidth="1"/>
    <col min="15" max="15" width="7" hidden="1" customWidth="1"/>
  </cols>
  <sheetData>
    <row r="1" spans="1:15" x14ac:dyDescent="0.25">
      <c r="A1" s="23" t="s">
        <v>304</v>
      </c>
    </row>
    <row r="2" spans="1:15" ht="7.5" customHeight="1" x14ac:dyDescent="0.25"/>
    <row r="3" spans="1:15" x14ac:dyDescent="0.25">
      <c r="A3" s="33" t="s">
        <v>104</v>
      </c>
      <c r="B3" s="34" t="s">
        <v>25</v>
      </c>
      <c r="C3" s="33" t="s">
        <v>103</v>
      </c>
      <c r="D3" s="33" t="s">
        <v>102</v>
      </c>
      <c r="E3" s="33" t="s">
        <v>93</v>
      </c>
      <c r="F3" s="33" t="s">
        <v>94</v>
      </c>
      <c r="G3" s="33" t="s">
        <v>101</v>
      </c>
      <c r="H3" s="33" t="s">
        <v>100</v>
      </c>
      <c r="I3" s="33" t="s">
        <v>99</v>
      </c>
      <c r="J3" s="33" t="s">
        <v>248</v>
      </c>
      <c r="K3" s="33" t="s">
        <v>98</v>
      </c>
      <c r="L3" s="33" t="s">
        <v>97</v>
      </c>
      <c r="M3" s="33" t="s">
        <v>305</v>
      </c>
      <c r="N3" s="33" t="s">
        <v>244</v>
      </c>
      <c r="O3" s="68" t="s">
        <v>306</v>
      </c>
    </row>
    <row r="4" spans="1:15" x14ac:dyDescent="0.25">
      <c r="A4" s="30">
        <v>45582</v>
      </c>
      <c r="B4" s="10">
        <v>20699.82</v>
      </c>
      <c r="C4" t="s">
        <v>307</v>
      </c>
      <c r="D4" t="s">
        <v>245</v>
      </c>
      <c r="E4" t="s">
        <v>239</v>
      </c>
      <c r="F4" t="s">
        <v>33</v>
      </c>
      <c r="G4" t="s">
        <v>317</v>
      </c>
      <c r="H4" t="s">
        <v>288</v>
      </c>
      <c r="I4" t="s">
        <v>316</v>
      </c>
      <c r="K4" t="s">
        <v>320</v>
      </c>
      <c r="L4" t="s">
        <v>308</v>
      </c>
      <c r="M4" s="18">
        <v>77</v>
      </c>
      <c r="N4" t="s">
        <v>318</v>
      </c>
      <c r="O4" s="18">
        <v>4</v>
      </c>
    </row>
    <row r="5" spans="1:15" x14ac:dyDescent="0.25">
      <c r="A5" s="30">
        <v>45614</v>
      </c>
      <c r="B5" s="22">
        <v>40115.230000000003</v>
      </c>
      <c r="C5" t="s">
        <v>307</v>
      </c>
      <c r="D5" t="s">
        <v>245</v>
      </c>
      <c r="E5" t="s">
        <v>239</v>
      </c>
      <c r="F5" t="s">
        <v>33</v>
      </c>
      <c r="G5" t="s">
        <v>317</v>
      </c>
      <c r="H5" t="s">
        <v>288</v>
      </c>
      <c r="I5" t="s">
        <v>316</v>
      </c>
      <c r="K5" t="s">
        <v>326</v>
      </c>
      <c r="L5" t="s">
        <v>308</v>
      </c>
      <c r="M5" s="18">
        <v>55</v>
      </c>
      <c r="N5" t="s">
        <v>324</v>
      </c>
      <c r="O5" s="18">
        <v>5</v>
      </c>
    </row>
    <row r="6" spans="1:15" x14ac:dyDescent="0.25">
      <c r="A6" s="30">
        <v>45674</v>
      </c>
      <c r="B6" s="10">
        <v>3050</v>
      </c>
      <c r="C6" t="s">
        <v>350</v>
      </c>
      <c r="D6" t="s">
        <v>245</v>
      </c>
      <c r="E6" t="s">
        <v>239</v>
      </c>
      <c r="F6" t="s">
        <v>33</v>
      </c>
      <c r="G6" t="s">
        <v>105</v>
      </c>
      <c r="H6" t="s">
        <v>288</v>
      </c>
      <c r="I6" t="s">
        <v>316</v>
      </c>
      <c r="K6" t="s">
        <v>353</v>
      </c>
      <c r="L6" t="s">
        <v>308</v>
      </c>
      <c r="M6" s="18">
        <v>49</v>
      </c>
      <c r="N6" t="s">
        <v>352</v>
      </c>
      <c r="O6" s="18"/>
    </row>
    <row r="7" spans="1:15" x14ac:dyDescent="0.25">
      <c r="A7" s="30">
        <v>45674</v>
      </c>
      <c r="B7" s="10">
        <v>700</v>
      </c>
      <c r="C7" t="s">
        <v>350</v>
      </c>
      <c r="D7" t="s">
        <v>245</v>
      </c>
      <c r="E7" t="s">
        <v>239</v>
      </c>
      <c r="F7" t="s">
        <v>33</v>
      </c>
      <c r="G7" t="s">
        <v>105</v>
      </c>
      <c r="H7" t="s">
        <v>288</v>
      </c>
      <c r="I7" t="s">
        <v>316</v>
      </c>
      <c r="K7" t="s">
        <v>353</v>
      </c>
      <c r="L7" t="s">
        <v>308</v>
      </c>
      <c r="M7" s="18">
        <v>50</v>
      </c>
      <c r="N7" t="s">
        <v>351</v>
      </c>
      <c r="O7" s="18"/>
    </row>
    <row r="8" spans="1:15" x14ac:dyDescent="0.25">
      <c r="A8" s="30">
        <v>45692</v>
      </c>
      <c r="B8" s="22">
        <v>-3050</v>
      </c>
      <c r="C8" t="s">
        <v>240</v>
      </c>
      <c r="D8" t="s">
        <v>249</v>
      </c>
      <c r="E8" t="s">
        <v>239</v>
      </c>
      <c r="F8" t="s">
        <v>33</v>
      </c>
      <c r="G8" t="s">
        <v>105</v>
      </c>
      <c r="H8" t="s">
        <v>288</v>
      </c>
      <c r="I8" t="s">
        <v>316</v>
      </c>
      <c r="K8" t="s">
        <v>374</v>
      </c>
      <c r="L8" t="s">
        <v>375</v>
      </c>
      <c r="M8" s="18">
        <v>1</v>
      </c>
      <c r="N8" t="s">
        <v>352</v>
      </c>
      <c r="O8" s="18">
        <v>8</v>
      </c>
    </row>
    <row r="9" spans="1:15" x14ac:dyDescent="0.25">
      <c r="A9" s="30">
        <v>45692</v>
      </c>
      <c r="B9" s="22">
        <v>-700</v>
      </c>
      <c r="C9" t="s">
        <v>240</v>
      </c>
      <c r="D9" t="s">
        <v>249</v>
      </c>
      <c r="E9" t="s">
        <v>239</v>
      </c>
      <c r="F9" t="s">
        <v>33</v>
      </c>
      <c r="G9" t="s">
        <v>105</v>
      </c>
      <c r="H9" t="s">
        <v>288</v>
      </c>
      <c r="I9" t="s">
        <v>316</v>
      </c>
      <c r="K9" t="s">
        <v>374</v>
      </c>
      <c r="L9" t="s">
        <v>375</v>
      </c>
      <c r="M9" s="18">
        <v>2</v>
      </c>
      <c r="N9" t="s">
        <v>351</v>
      </c>
      <c r="O9" s="18">
        <v>8</v>
      </c>
    </row>
    <row r="10" spans="1:15" x14ac:dyDescent="0.25">
      <c r="A10" s="30">
        <v>45692</v>
      </c>
      <c r="B10" s="22">
        <v>3050</v>
      </c>
      <c r="C10" t="s">
        <v>240</v>
      </c>
      <c r="D10" t="s">
        <v>249</v>
      </c>
      <c r="E10" t="s">
        <v>239</v>
      </c>
      <c r="F10" t="s">
        <v>33</v>
      </c>
      <c r="G10" t="s">
        <v>317</v>
      </c>
      <c r="H10" t="s">
        <v>288</v>
      </c>
      <c r="I10" t="s">
        <v>316</v>
      </c>
      <c r="K10" t="s">
        <v>374</v>
      </c>
      <c r="L10" t="s">
        <v>375</v>
      </c>
      <c r="M10" s="18">
        <v>3</v>
      </c>
      <c r="N10" t="s">
        <v>352</v>
      </c>
      <c r="O10" s="18">
        <v>8</v>
      </c>
    </row>
    <row r="11" spans="1:15" x14ac:dyDescent="0.25">
      <c r="A11" s="30">
        <v>45692</v>
      </c>
      <c r="B11" s="22">
        <v>700</v>
      </c>
      <c r="C11" t="s">
        <v>240</v>
      </c>
      <c r="D11" t="s">
        <v>249</v>
      </c>
      <c r="E11" t="s">
        <v>239</v>
      </c>
      <c r="F11" t="s">
        <v>33</v>
      </c>
      <c r="G11" t="s">
        <v>317</v>
      </c>
      <c r="H11" t="s">
        <v>288</v>
      </c>
      <c r="I11" t="s">
        <v>316</v>
      </c>
      <c r="K11" t="s">
        <v>374</v>
      </c>
      <c r="L11" t="s">
        <v>375</v>
      </c>
      <c r="M11" s="18">
        <v>4</v>
      </c>
      <c r="N11" t="s">
        <v>351</v>
      </c>
      <c r="O11" s="18">
        <v>8</v>
      </c>
    </row>
    <row r="12" spans="1:15" x14ac:dyDescent="0.25">
      <c r="A12" s="30">
        <v>45694</v>
      </c>
      <c r="B12" s="22">
        <v>7850.72</v>
      </c>
      <c r="C12" t="s">
        <v>307</v>
      </c>
      <c r="D12" t="s">
        <v>245</v>
      </c>
      <c r="E12" t="s">
        <v>239</v>
      </c>
      <c r="F12" t="s">
        <v>33</v>
      </c>
      <c r="G12" t="s">
        <v>317</v>
      </c>
      <c r="H12" t="s">
        <v>288</v>
      </c>
      <c r="I12" t="s">
        <v>316</v>
      </c>
      <c r="K12" t="s">
        <v>376</v>
      </c>
      <c r="L12" t="s">
        <v>308</v>
      </c>
      <c r="M12" s="18">
        <v>49</v>
      </c>
      <c r="N12" t="s">
        <v>373</v>
      </c>
      <c r="O12" s="18">
        <v>8</v>
      </c>
    </row>
    <row r="13" spans="1:15" x14ac:dyDescent="0.25">
      <c r="A13" s="30">
        <v>45757</v>
      </c>
      <c r="B13" s="10">
        <v>17834.810000000001</v>
      </c>
      <c r="C13" t="s">
        <v>307</v>
      </c>
      <c r="D13" t="s">
        <v>245</v>
      </c>
      <c r="E13" t="s">
        <v>239</v>
      </c>
      <c r="F13" t="s">
        <v>33</v>
      </c>
      <c r="G13" t="s">
        <v>317</v>
      </c>
      <c r="H13" t="s">
        <v>288</v>
      </c>
      <c r="I13" t="s">
        <v>316</v>
      </c>
      <c r="K13" t="s">
        <v>395</v>
      </c>
      <c r="L13" t="s">
        <v>308</v>
      </c>
      <c r="M13" s="18">
        <v>64</v>
      </c>
      <c r="N13" t="s">
        <v>394</v>
      </c>
      <c r="O13" s="18">
        <v>10</v>
      </c>
    </row>
    <row r="14" spans="1:15" x14ac:dyDescent="0.25">
      <c r="A14" s="30">
        <v>45806</v>
      </c>
      <c r="B14" s="10">
        <v>6734.26</v>
      </c>
      <c r="C14" t="s">
        <v>307</v>
      </c>
      <c r="D14" t="s">
        <v>245</v>
      </c>
      <c r="E14" t="s">
        <v>239</v>
      </c>
      <c r="F14" t="s">
        <v>33</v>
      </c>
      <c r="G14" t="s">
        <v>317</v>
      </c>
      <c r="H14" t="s">
        <v>288</v>
      </c>
      <c r="I14" t="s">
        <v>316</v>
      </c>
      <c r="K14" t="s">
        <v>404</v>
      </c>
      <c r="L14" t="s">
        <v>308</v>
      </c>
      <c r="M14" s="18">
        <v>117</v>
      </c>
      <c r="N14" t="s">
        <v>402</v>
      </c>
    </row>
    <row r="15" spans="1:15" x14ac:dyDescent="0.25">
      <c r="A15" s="30">
        <v>45811</v>
      </c>
      <c r="B15" s="10">
        <v>6313</v>
      </c>
      <c r="C15" t="s">
        <v>307</v>
      </c>
      <c r="D15" t="s">
        <v>249</v>
      </c>
      <c r="E15" t="s">
        <v>239</v>
      </c>
      <c r="F15" t="s">
        <v>33</v>
      </c>
      <c r="G15" t="s">
        <v>317</v>
      </c>
      <c r="H15" t="s">
        <v>288</v>
      </c>
      <c r="I15" t="s">
        <v>316</v>
      </c>
      <c r="K15" t="s">
        <v>436</v>
      </c>
      <c r="L15" t="s">
        <v>437</v>
      </c>
      <c r="M15" s="18">
        <v>1</v>
      </c>
      <c r="N15" t="s">
        <v>403</v>
      </c>
      <c r="O15" s="18">
        <v>12</v>
      </c>
    </row>
    <row r="16" spans="1:15" x14ac:dyDescent="0.25">
      <c r="A16" s="30">
        <v>45838</v>
      </c>
      <c r="B16" s="10">
        <v>30002.44</v>
      </c>
      <c r="C16" t="s">
        <v>307</v>
      </c>
      <c r="D16" t="s">
        <v>245</v>
      </c>
      <c r="E16" t="s">
        <v>239</v>
      </c>
      <c r="F16" t="s">
        <v>33</v>
      </c>
      <c r="G16" t="s">
        <v>317</v>
      </c>
      <c r="H16" t="s">
        <v>288</v>
      </c>
      <c r="I16" t="s">
        <v>316</v>
      </c>
      <c r="K16" t="s">
        <v>438</v>
      </c>
      <c r="L16" t="s">
        <v>308</v>
      </c>
      <c r="M16" s="18">
        <v>210</v>
      </c>
      <c r="N16" t="s">
        <v>427</v>
      </c>
      <c r="O16" s="18">
        <v>12</v>
      </c>
    </row>
    <row r="17" spans="1:15" x14ac:dyDescent="0.25">
      <c r="A17" s="30"/>
      <c r="B17" s="21">
        <f>SUM(B4:B16)</f>
        <v>133300.28</v>
      </c>
      <c r="M17" s="18"/>
      <c r="O17" s="18"/>
    </row>
    <row r="20" spans="1:15" x14ac:dyDescent="0.25">
      <c r="A20" s="23" t="s">
        <v>675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8DB79-3687-4321-826E-7E6FA31F30D5}">
  <sheetPr>
    <pageSetUpPr fitToPage="1"/>
  </sheetPr>
  <dimension ref="A1:N18"/>
  <sheetViews>
    <sheetView topLeftCell="B1" workbookViewId="0">
      <selection activeCell="B19" sqref="B19"/>
    </sheetView>
  </sheetViews>
  <sheetFormatPr defaultColWidth="10.28515625" defaultRowHeight="15" x14ac:dyDescent="0.25"/>
  <cols>
    <col min="1" max="1" width="13.140625" style="16" hidden="1" customWidth="1"/>
    <col min="2" max="2" width="9" style="16" bestFit="1" customWidth="1"/>
    <col min="3" max="3" width="10.7109375" style="52" bestFit="1" customWidth="1"/>
    <col min="4" max="4" width="11.5703125" style="22" bestFit="1" customWidth="1"/>
    <col min="5" max="5" width="33.140625" style="16" hidden="1" customWidth="1"/>
    <col min="6" max="6" width="28.42578125" style="74" bestFit="1" customWidth="1"/>
    <col min="7" max="7" width="8.28515625" style="16" bestFit="1" customWidth="1"/>
    <col min="8" max="8" width="6" style="16" customWidth="1"/>
    <col min="9" max="9" width="7" style="16" bestFit="1" customWidth="1"/>
    <col min="10" max="10" width="8.85546875" style="16" bestFit="1" customWidth="1"/>
    <col min="11" max="11" width="6.28515625" style="16" bestFit="1" customWidth="1"/>
    <col min="12" max="12" width="11.5703125" style="16" bestFit="1" customWidth="1"/>
    <col min="13" max="13" width="36.7109375" style="16" bestFit="1" customWidth="1"/>
    <col min="14" max="14" width="16.140625" style="75" bestFit="1" customWidth="1"/>
    <col min="15" max="16384" width="10.28515625" style="16"/>
  </cols>
  <sheetData>
    <row r="1" spans="1:14" x14ac:dyDescent="0.25">
      <c r="B1" s="23" t="s">
        <v>347</v>
      </c>
    </row>
    <row r="3" spans="1:14" s="54" customFormat="1" ht="30" x14ac:dyDescent="0.25">
      <c r="A3" s="72" t="s">
        <v>95</v>
      </c>
      <c r="B3" s="72" t="s">
        <v>113</v>
      </c>
      <c r="C3" s="72" t="s">
        <v>112</v>
      </c>
      <c r="D3" s="73" t="s">
        <v>111</v>
      </c>
      <c r="E3" s="72" t="s">
        <v>110</v>
      </c>
      <c r="F3" s="84" t="s">
        <v>338</v>
      </c>
      <c r="G3" s="72" t="s">
        <v>93</v>
      </c>
      <c r="H3" s="72" t="s">
        <v>94</v>
      </c>
      <c r="I3" s="72" t="s">
        <v>101</v>
      </c>
      <c r="J3" s="72" t="s">
        <v>100</v>
      </c>
      <c r="K3" s="72" t="s">
        <v>99</v>
      </c>
      <c r="L3" s="72" t="s">
        <v>109</v>
      </c>
      <c r="M3" s="72" t="s">
        <v>108</v>
      </c>
      <c r="N3" s="86" t="s">
        <v>248</v>
      </c>
    </row>
    <row r="4" spans="1:14" x14ac:dyDescent="0.25">
      <c r="A4" s="16" t="s">
        <v>106</v>
      </c>
      <c r="B4" s="16" t="s">
        <v>312</v>
      </c>
      <c r="C4" s="52">
        <v>45538</v>
      </c>
      <c r="D4" s="22">
        <v>49621.4</v>
      </c>
      <c r="E4" s="16" t="s">
        <v>310</v>
      </c>
      <c r="F4" s="85" t="s">
        <v>339</v>
      </c>
      <c r="G4" s="16" t="s">
        <v>239</v>
      </c>
      <c r="H4" s="16" t="s">
        <v>33</v>
      </c>
      <c r="I4" s="16" t="s">
        <v>105</v>
      </c>
      <c r="J4" s="16" t="s">
        <v>288</v>
      </c>
      <c r="K4" s="16" t="s">
        <v>215</v>
      </c>
      <c r="L4" s="16" t="s">
        <v>269</v>
      </c>
      <c r="M4" s="16" t="s">
        <v>340</v>
      </c>
      <c r="N4" s="43" t="s">
        <v>301</v>
      </c>
    </row>
    <row r="5" spans="1:14" x14ac:dyDescent="0.25">
      <c r="A5" s="16" t="s">
        <v>106</v>
      </c>
      <c r="B5" s="16" t="s">
        <v>311</v>
      </c>
      <c r="C5" s="52">
        <v>45561</v>
      </c>
      <c r="D5" s="22">
        <v>217481.07</v>
      </c>
      <c r="E5" s="16" t="s">
        <v>310</v>
      </c>
      <c r="F5" s="85" t="s">
        <v>341</v>
      </c>
      <c r="G5" s="16" t="s">
        <v>239</v>
      </c>
      <c r="H5" s="16" t="s">
        <v>33</v>
      </c>
      <c r="I5" s="16" t="s">
        <v>105</v>
      </c>
      <c r="J5" s="16" t="s">
        <v>288</v>
      </c>
      <c r="K5" s="16" t="s">
        <v>215</v>
      </c>
      <c r="L5" s="16" t="s">
        <v>269</v>
      </c>
      <c r="M5" s="16" t="s">
        <v>268</v>
      </c>
      <c r="N5" s="43" t="s">
        <v>301</v>
      </c>
    </row>
    <row r="6" spans="1:14" x14ac:dyDescent="0.25">
      <c r="A6" s="16" t="s">
        <v>106</v>
      </c>
      <c r="B6" s="16" t="s">
        <v>319</v>
      </c>
      <c r="C6" s="52">
        <v>45581</v>
      </c>
      <c r="D6" s="22">
        <v>105092.28</v>
      </c>
      <c r="E6" s="16" t="s">
        <v>310</v>
      </c>
      <c r="F6" s="85" t="s">
        <v>342</v>
      </c>
      <c r="G6" s="16" t="s">
        <v>239</v>
      </c>
      <c r="H6" s="16" t="s">
        <v>33</v>
      </c>
      <c r="I6" s="16" t="s">
        <v>105</v>
      </c>
      <c r="J6" s="16" t="s">
        <v>288</v>
      </c>
      <c r="K6" s="16" t="s">
        <v>215</v>
      </c>
      <c r="L6" s="16" t="s">
        <v>269</v>
      </c>
      <c r="M6" s="16" t="s">
        <v>268</v>
      </c>
      <c r="N6" s="43" t="s">
        <v>301</v>
      </c>
    </row>
    <row r="7" spans="1:14" x14ac:dyDescent="0.25">
      <c r="A7" s="16" t="s">
        <v>106</v>
      </c>
      <c r="B7" s="16" t="s">
        <v>325</v>
      </c>
      <c r="C7" s="52">
        <v>45614</v>
      </c>
      <c r="D7" s="22">
        <v>90512.639999999999</v>
      </c>
      <c r="E7" s="16" t="s">
        <v>310</v>
      </c>
      <c r="F7" s="85" t="s">
        <v>343</v>
      </c>
      <c r="G7" s="16" t="s">
        <v>239</v>
      </c>
      <c r="H7" s="16" t="s">
        <v>33</v>
      </c>
      <c r="I7" s="16" t="s">
        <v>105</v>
      </c>
      <c r="J7" s="16" t="s">
        <v>288</v>
      </c>
      <c r="K7" s="16" t="s">
        <v>215</v>
      </c>
      <c r="L7" s="16" t="s">
        <v>269</v>
      </c>
      <c r="M7" s="16" t="s">
        <v>268</v>
      </c>
      <c r="N7" s="43" t="s">
        <v>301</v>
      </c>
    </row>
    <row r="8" spans="1:14" x14ac:dyDescent="0.25">
      <c r="A8" s="16" t="s">
        <v>106</v>
      </c>
      <c r="B8" s="16" t="s">
        <v>302</v>
      </c>
      <c r="C8" s="52">
        <v>45526</v>
      </c>
      <c r="D8" s="22">
        <v>5000</v>
      </c>
      <c r="E8" s="16" t="s">
        <v>301</v>
      </c>
      <c r="F8" s="85">
        <v>969</v>
      </c>
      <c r="G8" s="16" t="s">
        <v>239</v>
      </c>
      <c r="H8" s="16" t="s">
        <v>33</v>
      </c>
      <c r="I8" s="16" t="s">
        <v>105</v>
      </c>
      <c r="J8" s="16" t="s">
        <v>216</v>
      </c>
      <c r="K8" s="16" t="s">
        <v>215</v>
      </c>
      <c r="L8" s="16" t="s">
        <v>284</v>
      </c>
      <c r="M8" s="16" t="s">
        <v>283</v>
      </c>
      <c r="N8" s="43" t="s">
        <v>301</v>
      </c>
    </row>
    <row r="9" spans="1:14" x14ac:dyDescent="0.25">
      <c r="A9" s="16" t="s">
        <v>106</v>
      </c>
      <c r="B9" s="16" t="s">
        <v>328</v>
      </c>
      <c r="C9" s="52">
        <v>45631</v>
      </c>
      <c r="D9" s="22">
        <v>10475</v>
      </c>
      <c r="E9" s="16" t="s">
        <v>301</v>
      </c>
      <c r="F9" s="85">
        <v>1045</v>
      </c>
      <c r="G9" s="16" t="s">
        <v>239</v>
      </c>
      <c r="H9" s="16" t="s">
        <v>33</v>
      </c>
      <c r="I9" s="16" t="s">
        <v>105</v>
      </c>
      <c r="J9" s="16" t="s">
        <v>288</v>
      </c>
      <c r="K9" s="16" t="s">
        <v>215</v>
      </c>
      <c r="L9" s="16" t="s">
        <v>284</v>
      </c>
      <c r="M9" s="16" t="s">
        <v>283</v>
      </c>
      <c r="N9" s="43" t="s">
        <v>301</v>
      </c>
    </row>
    <row r="10" spans="1:14" x14ac:dyDescent="0.25">
      <c r="B10" s="16" t="s">
        <v>336</v>
      </c>
      <c r="C10" s="52">
        <v>45636</v>
      </c>
      <c r="D10" s="22">
        <v>760</v>
      </c>
      <c r="E10" s="16" t="s">
        <v>335</v>
      </c>
      <c r="F10" s="85" t="s">
        <v>344</v>
      </c>
      <c r="G10" s="16" t="s">
        <v>48</v>
      </c>
      <c r="H10" s="16" t="s">
        <v>33</v>
      </c>
      <c r="I10" s="16" t="s">
        <v>105</v>
      </c>
      <c r="J10" s="16" t="s">
        <v>288</v>
      </c>
      <c r="K10" s="16" t="s">
        <v>215</v>
      </c>
      <c r="L10" s="16" t="s">
        <v>271</v>
      </c>
      <c r="M10" s="16" t="s">
        <v>270</v>
      </c>
      <c r="N10" s="43" t="s">
        <v>301</v>
      </c>
    </row>
    <row r="11" spans="1:14" x14ac:dyDescent="0.25">
      <c r="B11" s="16" t="s">
        <v>334</v>
      </c>
      <c r="C11" s="52">
        <v>45636</v>
      </c>
      <c r="D11" s="22">
        <v>480</v>
      </c>
      <c r="E11" s="16" t="s">
        <v>333</v>
      </c>
      <c r="F11" s="85" t="s">
        <v>345</v>
      </c>
      <c r="G11" s="16" t="s">
        <v>48</v>
      </c>
      <c r="H11" s="16" t="s">
        <v>33</v>
      </c>
      <c r="I11" s="16" t="s">
        <v>105</v>
      </c>
      <c r="J11" s="16" t="s">
        <v>288</v>
      </c>
      <c r="K11" s="16" t="s">
        <v>215</v>
      </c>
      <c r="L11" s="16" t="s">
        <v>271</v>
      </c>
      <c r="M11" s="16" t="s">
        <v>270</v>
      </c>
      <c r="N11" s="43" t="s">
        <v>301</v>
      </c>
    </row>
    <row r="12" spans="1:14" x14ac:dyDescent="0.25">
      <c r="B12" s="16" t="s">
        <v>332</v>
      </c>
      <c r="C12" s="52">
        <v>45644</v>
      </c>
      <c r="D12" s="22">
        <v>2600</v>
      </c>
      <c r="E12" s="16" t="s">
        <v>331</v>
      </c>
      <c r="F12" s="85" t="s">
        <v>346</v>
      </c>
      <c r="G12" s="16" t="s">
        <v>48</v>
      </c>
      <c r="H12" s="16" t="s">
        <v>33</v>
      </c>
      <c r="I12" s="16" t="s">
        <v>105</v>
      </c>
      <c r="J12" s="16" t="s">
        <v>288</v>
      </c>
      <c r="K12" s="16" t="s">
        <v>215</v>
      </c>
      <c r="L12" s="16" t="s">
        <v>271</v>
      </c>
      <c r="M12" s="16" t="s">
        <v>270</v>
      </c>
      <c r="N12" s="43" t="s">
        <v>301</v>
      </c>
    </row>
    <row r="13" spans="1:14" x14ac:dyDescent="0.25">
      <c r="B13" t="s">
        <v>405</v>
      </c>
      <c r="C13" s="30">
        <v>45810</v>
      </c>
      <c r="D13" s="88">
        <v>105634.34</v>
      </c>
      <c r="E13" s="18">
        <v>1</v>
      </c>
      <c r="F13" s="85" t="s">
        <v>406</v>
      </c>
      <c r="G13" t="s">
        <v>239</v>
      </c>
      <c r="H13" t="s">
        <v>33</v>
      </c>
      <c r="I13" t="s">
        <v>105</v>
      </c>
      <c r="J13" t="s">
        <v>288</v>
      </c>
      <c r="K13" t="s">
        <v>215</v>
      </c>
      <c r="L13" t="s">
        <v>269</v>
      </c>
      <c r="M13" t="s">
        <v>268</v>
      </c>
      <c r="N13" s="43" t="s">
        <v>301</v>
      </c>
    </row>
    <row r="14" spans="1:14" x14ac:dyDescent="0.25">
      <c r="B14" s="89" t="s">
        <v>435</v>
      </c>
      <c r="C14" s="30">
        <v>45832</v>
      </c>
      <c r="D14" s="88">
        <v>199949.2</v>
      </c>
      <c r="E14" s="18"/>
      <c r="F14" s="85" t="s">
        <v>439</v>
      </c>
      <c r="G14" t="s">
        <v>239</v>
      </c>
      <c r="H14" t="s">
        <v>33</v>
      </c>
      <c r="I14" t="s">
        <v>105</v>
      </c>
      <c r="J14" t="s">
        <v>288</v>
      </c>
      <c r="K14" t="s">
        <v>215</v>
      </c>
      <c r="L14" t="s">
        <v>269</v>
      </c>
      <c r="M14" t="s">
        <v>268</v>
      </c>
      <c r="N14" s="43" t="s">
        <v>301</v>
      </c>
    </row>
    <row r="15" spans="1:14" ht="15.75" thickBot="1" x14ac:dyDescent="0.3">
      <c r="D15" s="76">
        <f>SUM(D4:D14)</f>
        <v>787605.92999999993</v>
      </c>
    </row>
    <row r="16" spans="1:14" ht="15.75" thickTop="1" x14ac:dyDescent="0.25"/>
    <row r="18" spans="2:2" x14ac:dyDescent="0.25">
      <c r="B18" s="23" t="s">
        <v>676</v>
      </c>
    </row>
  </sheetData>
  <pageMargins left="0.7" right="0.7" top="0.75" bottom="0.75" header="0.3" footer="0.3"/>
  <pageSetup scale="77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D196-B246-48B8-946B-6D1EE0EDAA68}">
  <dimension ref="A1:K48"/>
  <sheetViews>
    <sheetView zoomScaleNormal="100" workbookViewId="0">
      <selection activeCell="A42" sqref="A42"/>
    </sheetView>
  </sheetViews>
  <sheetFormatPr defaultRowHeight="15" x14ac:dyDescent="0.25"/>
  <cols>
    <col min="1" max="1" width="11.7109375" customWidth="1"/>
    <col min="2" max="2" width="13.28515625" customWidth="1"/>
    <col min="3" max="3" width="28.28515625" customWidth="1"/>
    <col min="4" max="4" width="7.28515625" customWidth="1"/>
    <col min="5" max="5" width="13.28515625" bestFit="1" customWidth="1"/>
    <col min="6" max="6" width="6" bestFit="1" customWidth="1"/>
    <col min="7" max="7" width="11.85546875" bestFit="1" customWidth="1"/>
    <col min="8" max="8" width="8.42578125" bestFit="1" customWidth="1"/>
    <col min="9" max="9" width="9.42578125" bestFit="1" customWidth="1"/>
    <col min="10" max="10" width="11.7109375" bestFit="1" customWidth="1"/>
    <col min="11" max="11" width="2.28515625" style="37" bestFit="1" customWidth="1"/>
    <col min="12" max="12" width="27.140625" bestFit="1" customWidth="1"/>
  </cols>
  <sheetData>
    <row r="1" spans="1:9" x14ac:dyDescent="0.25">
      <c r="A1" s="69" t="s">
        <v>104</v>
      </c>
      <c r="B1" s="69" t="s">
        <v>25</v>
      </c>
      <c r="C1" s="69" t="s">
        <v>103</v>
      </c>
      <c r="D1" s="69" t="s">
        <v>102</v>
      </c>
      <c r="E1" s="70" t="s">
        <v>93</v>
      </c>
      <c r="F1" s="69" t="s">
        <v>94</v>
      </c>
      <c r="G1" s="69" t="s">
        <v>98</v>
      </c>
    </row>
    <row r="2" spans="1:9" x14ac:dyDescent="0.25">
      <c r="A2" s="30">
        <v>44623</v>
      </c>
      <c r="B2" s="22">
        <v>23670.9</v>
      </c>
      <c r="C2" s="47" t="s">
        <v>235</v>
      </c>
      <c r="D2" s="37" t="s">
        <v>220</v>
      </c>
      <c r="E2" s="37" t="s">
        <v>221</v>
      </c>
      <c r="F2" s="37" t="s">
        <v>234</v>
      </c>
      <c r="G2" t="s">
        <v>222</v>
      </c>
      <c r="H2" s="46" t="s">
        <v>231</v>
      </c>
    </row>
    <row r="3" spans="1:9" x14ac:dyDescent="0.25">
      <c r="A3" s="30">
        <v>44742</v>
      </c>
      <c r="B3" s="22">
        <v>24000</v>
      </c>
      <c r="C3" t="s">
        <v>219</v>
      </c>
      <c r="D3" s="37" t="s">
        <v>220</v>
      </c>
      <c r="E3" s="37" t="s">
        <v>221</v>
      </c>
      <c r="F3" t="s">
        <v>33</v>
      </c>
      <c r="G3" t="s">
        <v>222</v>
      </c>
      <c r="H3" s="46" t="s">
        <v>229</v>
      </c>
      <c r="I3" s="96" t="s">
        <v>469</v>
      </c>
    </row>
    <row r="4" spans="1:9" x14ac:dyDescent="0.25">
      <c r="A4" s="30">
        <v>44743</v>
      </c>
      <c r="B4" s="22">
        <v>169.8</v>
      </c>
      <c r="C4" t="s">
        <v>217</v>
      </c>
      <c r="D4" s="37" t="s">
        <v>223</v>
      </c>
      <c r="E4" s="37" t="s">
        <v>221</v>
      </c>
      <c r="F4" t="s">
        <v>33</v>
      </c>
      <c r="G4" t="s">
        <v>224</v>
      </c>
      <c r="H4" s="46" t="s">
        <v>230</v>
      </c>
    </row>
    <row r="5" spans="1:9" x14ac:dyDescent="0.25">
      <c r="A5" s="30">
        <v>45107</v>
      </c>
      <c r="B5" s="22">
        <v>21303.81</v>
      </c>
      <c r="C5" t="s">
        <v>227</v>
      </c>
      <c r="D5" s="37" t="s">
        <v>220</v>
      </c>
      <c r="E5" s="37" t="s">
        <v>221</v>
      </c>
      <c r="F5" t="s">
        <v>33</v>
      </c>
      <c r="G5" t="s">
        <v>226</v>
      </c>
      <c r="H5" s="46" t="s">
        <v>231</v>
      </c>
    </row>
    <row r="6" spans="1:9" x14ac:dyDescent="0.25">
      <c r="A6" s="30">
        <v>45107</v>
      </c>
      <c r="B6" s="22">
        <v>12985.51</v>
      </c>
      <c r="C6" t="s">
        <v>228</v>
      </c>
      <c r="D6" s="37" t="s">
        <v>220</v>
      </c>
      <c r="E6" s="37" t="s">
        <v>221</v>
      </c>
      <c r="F6" t="s">
        <v>33</v>
      </c>
      <c r="G6" t="s">
        <v>226</v>
      </c>
      <c r="H6" s="46" t="s">
        <v>232</v>
      </c>
      <c r="I6" s="96"/>
    </row>
    <row r="7" spans="1:9" x14ac:dyDescent="0.25">
      <c r="A7" s="30">
        <v>45107</v>
      </c>
      <c r="B7" s="22">
        <v>3834.58</v>
      </c>
      <c r="C7" t="s">
        <v>225</v>
      </c>
      <c r="D7" s="37" t="s">
        <v>220</v>
      </c>
      <c r="E7" s="37" t="s">
        <v>221</v>
      </c>
      <c r="F7" t="s">
        <v>33</v>
      </c>
      <c r="G7" t="s">
        <v>226</v>
      </c>
      <c r="H7" s="46" t="s">
        <v>233</v>
      </c>
    </row>
    <row r="8" spans="1:9" x14ac:dyDescent="0.25">
      <c r="A8" s="30">
        <v>45473</v>
      </c>
      <c r="B8" s="35">
        <v>32369.65</v>
      </c>
      <c r="C8" s="29" t="s">
        <v>462</v>
      </c>
      <c r="D8" s="37" t="s">
        <v>220</v>
      </c>
      <c r="E8" s="37" t="s">
        <v>221</v>
      </c>
      <c r="F8" t="s">
        <v>33</v>
      </c>
      <c r="G8" t="s">
        <v>470</v>
      </c>
      <c r="H8" s="46" t="s">
        <v>384</v>
      </c>
    </row>
    <row r="9" spans="1:9" x14ac:dyDescent="0.25">
      <c r="A9" s="30">
        <v>45473</v>
      </c>
      <c r="B9" s="35">
        <v>5854.2000000000007</v>
      </c>
      <c r="C9" s="29" t="s">
        <v>463</v>
      </c>
      <c r="D9" s="37" t="s">
        <v>220</v>
      </c>
      <c r="E9" s="37" t="s">
        <v>221</v>
      </c>
      <c r="F9" t="s">
        <v>33</v>
      </c>
      <c r="G9" t="s">
        <v>470</v>
      </c>
      <c r="H9" s="46" t="s">
        <v>233</v>
      </c>
    </row>
    <row r="10" spans="1:9" x14ac:dyDescent="0.25">
      <c r="A10" s="30">
        <v>45473</v>
      </c>
      <c r="B10" s="35">
        <v>580838.05999999994</v>
      </c>
      <c r="C10" s="29" t="s">
        <v>464</v>
      </c>
      <c r="D10" s="37" t="s">
        <v>220</v>
      </c>
      <c r="E10" s="37" t="s">
        <v>221</v>
      </c>
      <c r="F10" t="s">
        <v>33</v>
      </c>
      <c r="G10" t="s">
        <v>470</v>
      </c>
      <c r="H10" s="46" t="s">
        <v>473</v>
      </c>
    </row>
    <row r="11" spans="1:9" x14ac:dyDescent="0.25">
      <c r="A11" s="30">
        <v>45565</v>
      </c>
      <c r="B11" s="35">
        <v>-12985.51</v>
      </c>
      <c r="C11" s="97" t="s">
        <v>228</v>
      </c>
      <c r="D11" s="37" t="s">
        <v>220</v>
      </c>
      <c r="E11" s="37" t="s">
        <v>221</v>
      </c>
      <c r="F11" t="s">
        <v>33</v>
      </c>
      <c r="G11" t="s">
        <v>472</v>
      </c>
      <c r="H11" s="46" t="s">
        <v>232</v>
      </c>
    </row>
    <row r="12" spans="1:9" x14ac:dyDescent="0.25">
      <c r="A12" s="30">
        <v>45838</v>
      </c>
      <c r="B12" s="35">
        <v>18101.23</v>
      </c>
      <c r="C12" s="29" t="s">
        <v>465</v>
      </c>
      <c r="D12" s="37" t="s">
        <v>220</v>
      </c>
      <c r="E12" s="37" t="s">
        <v>221</v>
      </c>
      <c r="F12" t="s">
        <v>33</v>
      </c>
      <c r="G12" t="s">
        <v>471</v>
      </c>
      <c r="H12" s="46" t="s">
        <v>384</v>
      </c>
    </row>
    <row r="13" spans="1:9" x14ac:dyDescent="0.25">
      <c r="A13" s="30">
        <v>45838</v>
      </c>
      <c r="B13" s="35">
        <v>788565.92999999993</v>
      </c>
      <c r="C13" s="29" t="s">
        <v>466</v>
      </c>
      <c r="D13" s="37" t="s">
        <v>220</v>
      </c>
      <c r="E13" s="37" t="s">
        <v>221</v>
      </c>
      <c r="F13" t="s">
        <v>33</v>
      </c>
      <c r="G13" t="s">
        <v>471</v>
      </c>
      <c r="H13" s="46" t="s">
        <v>473</v>
      </c>
    </row>
    <row r="14" spans="1:9" x14ac:dyDescent="0.25">
      <c r="A14" s="30">
        <v>45838</v>
      </c>
      <c r="B14" s="35">
        <v>229550.28000000003</v>
      </c>
      <c r="C14" s="29" t="s">
        <v>467</v>
      </c>
      <c r="D14" s="37" t="s">
        <v>220</v>
      </c>
      <c r="E14" s="37" t="s">
        <v>221</v>
      </c>
      <c r="F14" t="s">
        <v>33</v>
      </c>
      <c r="G14" t="s">
        <v>471</v>
      </c>
      <c r="H14" s="46" t="s">
        <v>233</v>
      </c>
    </row>
    <row r="15" spans="1:9" x14ac:dyDescent="0.25">
      <c r="A15" s="30">
        <v>45838</v>
      </c>
      <c r="B15" s="35">
        <v>1759.58</v>
      </c>
      <c r="C15" s="29" t="s">
        <v>468</v>
      </c>
      <c r="D15" s="37" t="s">
        <v>220</v>
      </c>
      <c r="E15" s="37" t="s">
        <v>221</v>
      </c>
      <c r="F15" t="s">
        <v>33</v>
      </c>
      <c r="G15" t="s">
        <v>471</v>
      </c>
      <c r="H15" s="46" t="s">
        <v>474</v>
      </c>
    </row>
    <row r="16" spans="1:9" ht="15.75" thickBot="1" x14ac:dyDescent="0.3">
      <c r="B16" s="39">
        <f>SUM(B2:B15)</f>
        <v>1730018.0199999998</v>
      </c>
    </row>
    <row r="17" spans="1:5" ht="15.75" thickTop="1" x14ac:dyDescent="0.25"/>
    <row r="18" spans="1:5" x14ac:dyDescent="0.25">
      <c r="A18" s="45" t="s">
        <v>229</v>
      </c>
      <c r="B18" t="s">
        <v>278</v>
      </c>
    </row>
    <row r="19" spans="1:5" x14ac:dyDescent="0.25">
      <c r="A19" s="45" t="s">
        <v>230</v>
      </c>
      <c r="B19" t="s">
        <v>236</v>
      </c>
    </row>
    <row r="20" spans="1:5" x14ac:dyDescent="0.25">
      <c r="A20" s="45" t="s">
        <v>231</v>
      </c>
      <c r="B20" t="s">
        <v>279</v>
      </c>
    </row>
    <row r="21" spans="1:5" x14ac:dyDescent="0.25">
      <c r="A21" s="45" t="s">
        <v>232</v>
      </c>
      <c r="B21" t="s">
        <v>280</v>
      </c>
    </row>
    <row r="22" spans="1:5" x14ac:dyDescent="0.25">
      <c r="A22" s="45" t="s">
        <v>233</v>
      </c>
      <c r="B22" t="s">
        <v>281</v>
      </c>
    </row>
    <row r="23" spans="1:5" x14ac:dyDescent="0.25">
      <c r="A23" s="45" t="s">
        <v>384</v>
      </c>
      <c r="B23" t="s">
        <v>303</v>
      </c>
    </row>
    <row r="24" spans="1:5" x14ac:dyDescent="0.25">
      <c r="A24" s="45" t="s">
        <v>473</v>
      </c>
      <c r="B24" t="s">
        <v>475</v>
      </c>
    </row>
    <row r="25" spans="1:5" x14ac:dyDescent="0.25">
      <c r="A25" s="45" t="s">
        <v>474</v>
      </c>
      <c r="B25" t="s">
        <v>385</v>
      </c>
    </row>
    <row r="27" spans="1:5" x14ac:dyDescent="0.25">
      <c r="A27" t="s">
        <v>218</v>
      </c>
      <c r="B27">
        <v>1706</v>
      </c>
      <c r="C27" t="s">
        <v>217</v>
      </c>
      <c r="D27" t="s">
        <v>33</v>
      </c>
      <c r="E27" s="10">
        <v>1706347.12</v>
      </c>
    </row>
    <row r="28" spans="1:5" x14ac:dyDescent="0.25">
      <c r="B28">
        <v>1706</v>
      </c>
      <c r="C28" t="s">
        <v>217</v>
      </c>
      <c r="D28" t="s">
        <v>234</v>
      </c>
      <c r="E28" s="10">
        <v>23670.9</v>
      </c>
    </row>
    <row r="29" spans="1:5" ht="15.75" thickBot="1" x14ac:dyDescent="0.3">
      <c r="E29" s="31">
        <f>SUM(E27:E28)</f>
        <v>1730018.02</v>
      </c>
    </row>
    <row r="30" spans="1:5" ht="15.75" thickTop="1" x14ac:dyDescent="0.25">
      <c r="E30" s="35">
        <f>B16-E29</f>
        <v>0</v>
      </c>
    </row>
    <row r="33" spans="1:11" x14ac:dyDescent="0.25">
      <c r="A33" s="23" t="s">
        <v>461</v>
      </c>
    </row>
    <row r="34" spans="1:11" x14ac:dyDescent="0.25">
      <c r="A34" s="33" t="s">
        <v>104</v>
      </c>
      <c r="B34" s="33" t="s">
        <v>25</v>
      </c>
      <c r="C34" s="33" t="s">
        <v>103</v>
      </c>
      <c r="D34" s="38" t="s">
        <v>102</v>
      </c>
      <c r="E34" s="38" t="s">
        <v>93</v>
      </c>
      <c r="F34" s="33" t="s">
        <v>94</v>
      </c>
      <c r="G34" s="38" t="s">
        <v>101</v>
      </c>
      <c r="H34" s="38" t="s">
        <v>100</v>
      </c>
      <c r="I34" s="38" t="s">
        <v>99</v>
      </c>
      <c r="J34" s="38" t="s">
        <v>244</v>
      </c>
    </row>
    <row r="35" spans="1:11" x14ac:dyDescent="0.25">
      <c r="A35" s="30">
        <v>45859</v>
      </c>
      <c r="B35" s="22">
        <v>212449.96</v>
      </c>
      <c r="C35" t="s">
        <v>434</v>
      </c>
      <c r="D35" t="s">
        <v>245</v>
      </c>
      <c r="E35" t="s">
        <v>239</v>
      </c>
      <c r="F35" t="s">
        <v>33</v>
      </c>
      <c r="G35" t="s">
        <v>105</v>
      </c>
      <c r="H35" t="s">
        <v>448</v>
      </c>
      <c r="I35" t="s">
        <v>215</v>
      </c>
      <c r="J35" t="s">
        <v>452</v>
      </c>
      <c r="K35" s="66" t="s">
        <v>230</v>
      </c>
    </row>
    <row r="36" spans="1:11" x14ac:dyDescent="0.25">
      <c r="A36" s="30">
        <v>45864</v>
      </c>
      <c r="B36" s="22">
        <v>67389.5</v>
      </c>
      <c r="C36" t="s">
        <v>455</v>
      </c>
      <c r="D36" t="s">
        <v>245</v>
      </c>
      <c r="E36" t="s">
        <v>445</v>
      </c>
      <c r="F36" t="s">
        <v>33</v>
      </c>
      <c r="G36" t="s">
        <v>107</v>
      </c>
      <c r="H36" t="s">
        <v>288</v>
      </c>
      <c r="I36" t="s">
        <v>215</v>
      </c>
      <c r="J36" t="s">
        <v>456</v>
      </c>
      <c r="K36" s="66" t="s">
        <v>232</v>
      </c>
    </row>
    <row r="37" spans="1:11" x14ac:dyDescent="0.25">
      <c r="A37" s="30">
        <v>45859</v>
      </c>
      <c r="B37" s="10">
        <v>212449.96</v>
      </c>
      <c r="C37" t="s">
        <v>434</v>
      </c>
      <c r="D37" t="s">
        <v>245</v>
      </c>
      <c r="E37" t="s">
        <v>239</v>
      </c>
      <c r="F37" t="s">
        <v>33</v>
      </c>
      <c r="G37" t="s">
        <v>105</v>
      </c>
      <c r="H37" t="s">
        <v>448</v>
      </c>
      <c r="I37" t="s">
        <v>215</v>
      </c>
      <c r="J37" t="s">
        <v>452</v>
      </c>
      <c r="K37" s="66" t="s">
        <v>230</v>
      </c>
    </row>
    <row r="38" spans="1:11" x14ac:dyDescent="0.25">
      <c r="A38" s="30">
        <v>45864</v>
      </c>
      <c r="B38" s="10">
        <v>67389.5</v>
      </c>
      <c r="C38" t="s">
        <v>455</v>
      </c>
      <c r="D38" t="s">
        <v>245</v>
      </c>
      <c r="E38" t="s">
        <v>445</v>
      </c>
      <c r="F38" t="s">
        <v>33</v>
      </c>
      <c r="G38" t="s">
        <v>107</v>
      </c>
      <c r="H38" t="s">
        <v>288</v>
      </c>
      <c r="I38" t="s">
        <v>215</v>
      </c>
      <c r="J38" t="s">
        <v>456</v>
      </c>
      <c r="K38" s="66" t="s">
        <v>232</v>
      </c>
    </row>
    <row r="39" spans="1:11" x14ac:dyDescent="0.25">
      <c r="A39" s="30">
        <v>45880</v>
      </c>
      <c r="B39" s="10">
        <v>1768</v>
      </c>
      <c r="C39" t="s">
        <v>455</v>
      </c>
      <c r="D39" t="s">
        <v>245</v>
      </c>
      <c r="E39" t="s">
        <v>445</v>
      </c>
      <c r="F39" t="s">
        <v>33</v>
      </c>
      <c r="G39" t="s">
        <v>107</v>
      </c>
      <c r="H39" t="s">
        <v>288</v>
      </c>
      <c r="I39" t="s">
        <v>215</v>
      </c>
      <c r="J39" t="s">
        <v>648</v>
      </c>
      <c r="K39" s="66" t="s">
        <v>232</v>
      </c>
    </row>
    <row r="40" spans="1:11" x14ac:dyDescent="0.25">
      <c r="A40" s="30">
        <v>45882</v>
      </c>
      <c r="B40" s="10">
        <v>55770.16</v>
      </c>
      <c r="C40" t="s">
        <v>434</v>
      </c>
      <c r="D40" t="s">
        <v>245</v>
      </c>
      <c r="E40" t="s">
        <v>239</v>
      </c>
      <c r="F40" t="s">
        <v>33</v>
      </c>
      <c r="G40" t="s">
        <v>105</v>
      </c>
      <c r="H40" t="s">
        <v>448</v>
      </c>
      <c r="I40" t="s">
        <v>215</v>
      </c>
      <c r="J40" t="s">
        <v>598</v>
      </c>
      <c r="K40" s="37" t="s">
        <v>230</v>
      </c>
    </row>
    <row r="41" spans="1:11" x14ac:dyDescent="0.25">
      <c r="B41" s="10"/>
    </row>
    <row r="42" spans="1:11" x14ac:dyDescent="0.25">
      <c r="B42" s="10"/>
    </row>
    <row r="43" spans="1:11" x14ac:dyDescent="0.25">
      <c r="A43" s="67" t="s">
        <v>229</v>
      </c>
      <c r="B43" t="s">
        <v>303</v>
      </c>
    </row>
    <row r="44" spans="1:11" x14ac:dyDescent="0.25">
      <c r="A44" s="67" t="s">
        <v>230</v>
      </c>
      <c r="B44" t="s">
        <v>397</v>
      </c>
    </row>
    <row r="45" spans="1:11" x14ac:dyDescent="0.25">
      <c r="A45" s="67" t="s">
        <v>231</v>
      </c>
      <c r="B45" t="s">
        <v>314</v>
      </c>
    </row>
    <row r="46" spans="1:11" x14ac:dyDescent="0.25">
      <c r="A46" s="67" t="s">
        <v>232</v>
      </c>
      <c r="B46" t="s">
        <v>385</v>
      </c>
    </row>
    <row r="47" spans="1:11" x14ac:dyDescent="0.25">
      <c r="B47" s="10"/>
    </row>
    <row r="48" spans="1:11" x14ac:dyDescent="0.25">
      <c r="B48" s="10"/>
    </row>
  </sheetData>
  <sortState xmlns:xlrd2="http://schemas.microsoft.com/office/spreadsheetml/2017/richdata2" ref="A3:G16">
    <sortCondition ref="A1:A16"/>
  </sortState>
  <conditionalFormatting sqref="E30">
    <cfRule type="cellIs" dxfId="6" priority="1" operator="notEqual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1E4E-F5AB-4F19-9932-41E73DFE8930}">
  <dimension ref="A1:U46"/>
  <sheetViews>
    <sheetView topLeftCell="A25" zoomScaleNormal="100" workbookViewId="0">
      <selection activeCell="A34" sqref="A34"/>
    </sheetView>
  </sheetViews>
  <sheetFormatPr defaultRowHeight="15" x14ac:dyDescent="0.25"/>
  <cols>
    <col min="1" max="1" width="15.28515625" style="30" bestFit="1" customWidth="1"/>
    <col min="2" max="2" width="8.140625" bestFit="1" customWidth="1"/>
    <col min="3" max="3" width="7" bestFit="1" customWidth="1"/>
    <col min="4" max="4" width="11.7109375" bestFit="1" customWidth="1"/>
    <col min="5" max="5" width="18.7109375" bestFit="1" customWidth="1"/>
    <col min="6" max="6" width="11" customWidth="1"/>
    <col min="7" max="7" width="14.5703125" bestFit="1" customWidth="1"/>
    <col min="8" max="8" width="11.28515625" bestFit="1" customWidth="1"/>
    <col min="9" max="9" width="2.7109375" customWidth="1"/>
    <col min="10" max="10" width="6.140625" customWidth="1"/>
    <col min="11" max="11" width="19.7109375" bestFit="1" customWidth="1"/>
    <col min="12" max="12" width="8.140625" bestFit="1" customWidth="1"/>
    <col min="13" max="13" width="19" bestFit="1" customWidth="1"/>
    <col min="14" max="14" width="11.28515625" style="10" bestFit="1" customWidth="1"/>
    <col min="15" max="15" width="5.140625" style="10" bestFit="1" customWidth="1"/>
    <col min="16" max="16" width="2.7109375" customWidth="1"/>
    <col min="17" max="17" width="12.7109375" bestFit="1" customWidth="1"/>
    <col min="18" max="18" width="6.140625" customWidth="1"/>
    <col min="19" max="19" width="16.28515625" bestFit="1" customWidth="1"/>
    <col min="20" max="20" width="11.28515625" bestFit="1" customWidth="1"/>
  </cols>
  <sheetData>
    <row r="1" spans="1:21" x14ac:dyDescent="0.25">
      <c r="A1" s="48" t="s">
        <v>201</v>
      </c>
      <c r="J1" s="23" t="s">
        <v>188</v>
      </c>
      <c r="Q1" s="23" t="s">
        <v>202</v>
      </c>
    </row>
    <row r="2" spans="1:21" ht="7.5" customHeight="1" x14ac:dyDescent="0.25"/>
    <row r="3" spans="1:21" x14ac:dyDescent="0.25">
      <c r="A3" s="49" t="s">
        <v>104</v>
      </c>
      <c r="B3" s="38" t="s">
        <v>93</v>
      </c>
      <c r="C3" s="38" t="s">
        <v>102</v>
      </c>
      <c r="D3" s="38" t="s">
        <v>103</v>
      </c>
      <c r="E3" s="38" t="s">
        <v>199</v>
      </c>
      <c r="F3" s="38" t="s">
        <v>25</v>
      </c>
      <c r="G3" s="38" t="s">
        <v>208</v>
      </c>
      <c r="H3" s="10">
        <f>SUM(F:F)</f>
        <v>-15373.43</v>
      </c>
      <c r="J3" s="33" t="s">
        <v>94</v>
      </c>
      <c r="K3" s="33" t="s">
        <v>153</v>
      </c>
      <c r="L3" s="33" t="s">
        <v>93</v>
      </c>
      <c r="M3" s="33" t="s">
        <v>154</v>
      </c>
      <c r="N3" s="34" t="s">
        <v>25</v>
      </c>
      <c r="O3" s="10">
        <f>SUM(N:N)</f>
        <v>0</v>
      </c>
      <c r="Q3" s="6" t="s">
        <v>204</v>
      </c>
      <c r="R3" t="s">
        <v>76</v>
      </c>
      <c r="S3" t="s">
        <v>75</v>
      </c>
      <c r="T3" s="10">
        <f>SUMIF(L:L,R3,N:N)</f>
        <v>-15373.43</v>
      </c>
    </row>
    <row r="4" spans="1:21" x14ac:dyDescent="0.25">
      <c r="A4" s="36" t="s">
        <v>198</v>
      </c>
      <c r="E4" s="37" t="s">
        <v>200</v>
      </c>
      <c r="F4" s="10">
        <f>-7485+2295</f>
        <v>-5190</v>
      </c>
      <c r="G4" s="41" t="s">
        <v>209</v>
      </c>
      <c r="J4" t="s">
        <v>189</v>
      </c>
      <c r="K4" t="s">
        <v>190</v>
      </c>
      <c r="L4" t="s">
        <v>84</v>
      </c>
      <c r="M4" t="s">
        <v>83</v>
      </c>
      <c r="N4" s="10">
        <v>15373.43</v>
      </c>
      <c r="O4" s="10">
        <f>SUM(F:F)-N5</f>
        <v>0</v>
      </c>
      <c r="Q4" s="6" t="s">
        <v>205</v>
      </c>
      <c r="R4" t="s">
        <v>76</v>
      </c>
      <c r="S4" t="s">
        <v>75</v>
      </c>
      <c r="T4" s="35">
        <f>H3</f>
        <v>-15373.43</v>
      </c>
    </row>
    <row r="5" spans="1:21" ht="15.75" thickBot="1" x14ac:dyDescent="0.3">
      <c r="A5" s="30">
        <v>42948</v>
      </c>
      <c r="B5" s="37" t="s">
        <v>76</v>
      </c>
      <c r="C5" s="37" t="s">
        <v>192</v>
      </c>
      <c r="D5" s="37" t="s">
        <v>191</v>
      </c>
      <c r="E5" s="40"/>
      <c r="F5" s="10">
        <v>-885</v>
      </c>
      <c r="G5" s="41"/>
      <c r="J5" t="s">
        <v>189</v>
      </c>
      <c r="K5" t="s">
        <v>190</v>
      </c>
      <c r="L5" t="s">
        <v>76</v>
      </c>
      <c r="M5" t="s">
        <v>75</v>
      </c>
      <c r="N5" s="10">
        <f>-N4</f>
        <v>-15373.43</v>
      </c>
      <c r="T5" s="39">
        <f>T3-T4</f>
        <v>0</v>
      </c>
      <c r="U5" t="s">
        <v>203</v>
      </c>
    </row>
    <row r="6" spans="1:21" ht="15.75" thickTop="1" x14ac:dyDescent="0.25">
      <c r="A6" s="30">
        <v>43371</v>
      </c>
      <c r="B6" s="37" t="s">
        <v>76</v>
      </c>
      <c r="C6" s="37" t="s">
        <v>192</v>
      </c>
      <c r="D6" s="37" t="s">
        <v>193</v>
      </c>
      <c r="E6" s="77" t="s">
        <v>362</v>
      </c>
      <c r="F6" s="10">
        <v>-200</v>
      </c>
      <c r="G6" s="41"/>
    </row>
    <row r="7" spans="1:21" x14ac:dyDescent="0.25">
      <c r="A7" s="30">
        <v>43371</v>
      </c>
      <c r="B7" s="37" t="s">
        <v>76</v>
      </c>
      <c r="C7" s="37" t="s">
        <v>192</v>
      </c>
      <c r="D7" s="37" t="s">
        <v>193</v>
      </c>
      <c r="E7" s="77" t="s">
        <v>363</v>
      </c>
      <c r="F7" s="10">
        <v>-300</v>
      </c>
      <c r="G7" s="41"/>
    </row>
    <row r="8" spans="1:21" x14ac:dyDescent="0.25">
      <c r="A8" s="30">
        <v>43403</v>
      </c>
      <c r="B8" s="37" t="s">
        <v>76</v>
      </c>
      <c r="C8" s="37" t="s">
        <v>192</v>
      </c>
      <c r="D8" s="37" t="s">
        <v>194</v>
      </c>
      <c r="E8" s="77" t="s">
        <v>364</v>
      </c>
      <c r="F8" s="10">
        <v>-25</v>
      </c>
      <c r="G8" s="41"/>
    </row>
    <row r="9" spans="1:21" x14ac:dyDescent="0.25">
      <c r="A9" s="30">
        <v>43403</v>
      </c>
      <c r="B9" s="37" t="s">
        <v>76</v>
      </c>
      <c r="C9" s="37" t="s">
        <v>192</v>
      </c>
      <c r="D9" s="37" t="s">
        <v>194</v>
      </c>
      <c r="E9" s="77" t="s">
        <v>365</v>
      </c>
      <c r="F9" s="10">
        <v>-110</v>
      </c>
      <c r="G9" s="41"/>
    </row>
    <row r="10" spans="1:21" x14ac:dyDescent="0.25">
      <c r="A10" s="30">
        <v>43403</v>
      </c>
      <c r="B10" s="37" t="s">
        <v>76</v>
      </c>
      <c r="C10" s="37" t="s">
        <v>192</v>
      </c>
      <c r="D10" s="37" t="s">
        <v>194</v>
      </c>
      <c r="E10" s="77" t="s">
        <v>366</v>
      </c>
      <c r="F10" s="10">
        <v>-250</v>
      </c>
      <c r="G10" s="41"/>
    </row>
    <row r="11" spans="1:21" x14ac:dyDescent="0.25">
      <c r="A11" s="30">
        <v>43403</v>
      </c>
      <c r="B11" s="37" t="s">
        <v>76</v>
      </c>
      <c r="C11" s="37" t="s">
        <v>192</v>
      </c>
      <c r="D11" s="37" t="s">
        <v>194</v>
      </c>
      <c r="E11" s="77" t="s">
        <v>367</v>
      </c>
      <c r="F11" s="10">
        <v>-150</v>
      </c>
      <c r="G11" s="41"/>
    </row>
    <row r="12" spans="1:21" x14ac:dyDescent="0.25">
      <c r="A12" s="30">
        <v>43559</v>
      </c>
      <c r="B12" s="37" t="s">
        <v>76</v>
      </c>
      <c r="C12" s="37" t="s">
        <v>192</v>
      </c>
      <c r="D12" s="37" t="s">
        <v>195</v>
      </c>
      <c r="E12" s="29" t="s">
        <v>368</v>
      </c>
      <c r="F12" s="10">
        <v>-375</v>
      </c>
      <c r="G12" s="41"/>
    </row>
    <row r="13" spans="1:21" x14ac:dyDescent="0.25">
      <c r="A13" s="30">
        <v>43930</v>
      </c>
      <c r="B13" s="37" t="s">
        <v>76</v>
      </c>
      <c r="C13" s="37" t="s">
        <v>192</v>
      </c>
      <c r="D13" s="37" t="s">
        <v>196</v>
      </c>
      <c r="E13" s="29" t="s">
        <v>369</v>
      </c>
      <c r="F13" s="10">
        <v>-500</v>
      </c>
      <c r="G13" s="41"/>
    </row>
    <row r="14" spans="1:21" x14ac:dyDescent="0.25">
      <c r="A14" s="30">
        <v>45020</v>
      </c>
      <c r="B14" s="37" t="s">
        <v>76</v>
      </c>
      <c r="C14" s="37" t="s">
        <v>192</v>
      </c>
      <c r="D14" s="37" t="s">
        <v>197</v>
      </c>
      <c r="E14" s="29" t="s">
        <v>370</v>
      </c>
      <c r="F14" s="10">
        <v>-1280</v>
      </c>
      <c r="G14" t="s">
        <v>252</v>
      </c>
    </row>
    <row r="15" spans="1:21" x14ac:dyDescent="0.25">
      <c r="A15" s="30">
        <v>45201</v>
      </c>
      <c r="B15" s="37" t="s">
        <v>76</v>
      </c>
      <c r="C15" s="37" t="s">
        <v>249</v>
      </c>
      <c r="D15" s="53" t="s">
        <v>250</v>
      </c>
      <c r="E15" s="29" t="s">
        <v>370</v>
      </c>
      <c r="F15" s="10">
        <v>880</v>
      </c>
      <c r="G15" t="s">
        <v>251</v>
      </c>
    </row>
    <row r="16" spans="1:21" x14ac:dyDescent="0.25">
      <c r="A16" s="30">
        <v>45372</v>
      </c>
      <c r="B16" s="37" t="s">
        <v>76</v>
      </c>
      <c r="C16" s="37" t="s">
        <v>256</v>
      </c>
      <c r="D16" s="50" t="s">
        <v>258</v>
      </c>
      <c r="E16" s="29" t="s">
        <v>261</v>
      </c>
      <c r="F16" s="10">
        <v>100</v>
      </c>
    </row>
    <row r="17" spans="1:6" x14ac:dyDescent="0.25">
      <c r="A17" s="30">
        <v>45473</v>
      </c>
      <c r="B17" s="37">
        <v>2519</v>
      </c>
      <c r="C17" s="37" t="s">
        <v>192</v>
      </c>
      <c r="D17" s="37">
        <v>38752</v>
      </c>
      <c r="E17" s="40"/>
      <c r="F17" s="10">
        <v>-100</v>
      </c>
    </row>
    <row r="18" spans="1:6" x14ac:dyDescent="0.25">
      <c r="A18" s="30">
        <v>45603</v>
      </c>
      <c r="B18" s="37">
        <v>2519</v>
      </c>
      <c r="C18" s="37" t="s">
        <v>192</v>
      </c>
      <c r="D18" s="37">
        <v>39557</v>
      </c>
      <c r="E18" s="29" t="s">
        <v>386</v>
      </c>
      <c r="F18" s="10">
        <v>-275</v>
      </c>
    </row>
    <row r="19" spans="1:6" x14ac:dyDescent="0.25">
      <c r="A19" s="30">
        <v>45664</v>
      </c>
      <c r="B19" s="37">
        <v>2519</v>
      </c>
      <c r="C19" s="37" t="s">
        <v>192</v>
      </c>
      <c r="D19" s="37" t="s">
        <v>354</v>
      </c>
      <c r="E19" s="29" t="s">
        <v>361</v>
      </c>
      <c r="F19" s="10">
        <v>-800</v>
      </c>
    </row>
    <row r="20" spans="1:6" x14ac:dyDescent="0.25">
      <c r="A20" s="30">
        <v>45664</v>
      </c>
      <c r="B20" s="37">
        <v>2519</v>
      </c>
      <c r="C20" s="37" t="s">
        <v>192</v>
      </c>
      <c r="D20" s="37" t="s">
        <v>355</v>
      </c>
      <c r="E20" s="29" t="s">
        <v>360</v>
      </c>
      <c r="F20" s="10">
        <v>-500</v>
      </c>
    </row>
    <row r="21" spans="1:6" x14ac:dyDescent="0.25">
      <c r="A21" s="78">
        <v>45664</v>
      </c>
      <c r="B21" s="79">
        <v>2519</v>
      </c>
      <c r="C21" s="79" t="s">
        <v>192</v>
      </c>
      <c r="D21" s="79" t="s">
        <v>355</v>
      </c>
      <c r="E21" s="80" t="s">
        <v>359</v>
      </c>
      <c r="F21" s="81">
        <v>-200</v>
      </c>
    </row>
    <row r="22" spans="1:6" x14ac:dyDescent="0.25">
      <c r="A22" s="30">
        <v>45664</v>
      </c>
      <c r="B22" s="37">
        <v>2519</v>
      </c>
      <c r="C22" s="37" t="s">
        <v>192</v>
      </c>
      <c r="D22" s="37" t="s">
        <v>355</v>
      </c>
      <c r="E22" s="29" t="s">
        <v>358</v>
      </c>
      <c r="F22" s="10">
        <v>-450</v>
      </c>
    </row>
    <row r="23" spans="1:6" x14ac:dyDescent="0.25">
      <c r="A23" s="30">
        <v>45664</v>
      </c>
      <c r="B23" s="37">
        <v>2519</v>
      </c>
      <c r="C23" s="37" t="s">
        <v>192</v>
      </c>
      <c r="D23" s="37" t="s">
        <v>355</v>
      </c>
      <c r="E23" s="29" t="s">
        <v>371</v>
      </c>
      <c r="F23" s="10">
        <v>-450</v>
      </c>
    </row>
    <row r="24" spans="1:6" x14ac:dyDescent="0.25">
      <c r="A24" s="30">
        <v>45680</v>
      </c>
      <c r="B24" s="37">
        <v>2519</v>
      </c>
      <c r="C24" s="37" t="s">
        <v>192</v>
      </c>
      <c r="D24" s="37" t="s">
        <v>356</v>
      </c>
      <c r="E24" s="40"/>
      <c r="F24" s="10">
        <v>-1000</v>
      </c>
    </row>
    <row r="25" spans="1:6" x14ac:dyDescent="0.25">
      <c r="A25" s="78">
        <v>45685</v>
      </c>
      <c r="B25" s="79">
        <v>2519</v>
      </c>
      <c r="C25" s="79" t="s">
        <v>245</v>
      </c>
      <c r="D25" s="79" t="s">
        <v>357</v>
      </c>
      <c r="E25" s="80" t="s">
        <v>359</v>
      </c>
      <c r="F25" s="81">
        <v>200</v>
      </c>
    </row>
    <row r="26" spans="1:6" x14ac:dyDescent="0.25">
      <c r="A26" s="30">
        <v>45707</v>
      </c>
      <c r="B26" s="37">
        <v>2519</v>
      </c>
      <c r="C26" s="37" t="s">
        <v>192</v>
      </c>
      <c r="D26" s="37">
        <v>40136</v>
      </c>
      <c r="E26" s="40" t="s">
        <v>378</v>
      </c>
      <c r="F26" s="10">
        <v>-500</v>
      </c>
    </row>
    <row r="27" spans="1:6" x14ac:dyDescent="0.25">
      <c r="A27" s="30">
        <v>45707</v>
      </c>
      <c r="B27" s="37">
        <v>2519</v>
      </c>
      <c r="C27" s="37" t="s">
        <v>192</v>
      </c>
      <c r="D27" s="37">
        <v>40136</v>
      </c>
      <c r="E27" s="29" t="s">
        <v>379</v>
      </c>
      <c r="F27" s="10">
        <v>-400</v>
      </c>
    </row>
    <row r="28" spans="1:6" x14ac:dyDescent="0.25">
      <c r="A28" s="30">
        <v>45707</v>
      </c>
      <c r="B28" s="37">
        <v>2519</v>
      </c>
      <c r="C28" s="37" t="s">
        <v>192</v>
      </c>
      <c r="D28" s="37">
        <v>40136</v>
      </c>
      <c r="E28" s="29" t="s">
        <v>380</v>
      </c>
      <c r="F28" s="10">
        <v>-360</v>
      </c>
    </row>
    <row r="29" spans="1:6" x14ac:dyDescent="0.25">
      <c r="A29" s="30">
        <v>45707</v>
      </c>
      <c r="B29" s="37">
        <v>2519</v>
      </c>
      <c r="C29" s="37" t="s">
        <v>192</v>
      </c>
      <c r="D29" s="37">
        <v>40136</v>
      </c>
      <c r="E29" s="29" t="s">
        <v>381</v>
      </c>
      <c r="F29" s="10">
        <v>-100</v>
      </c>
    </row>
    <row r="30" spans="1:6" x14ac:dyDescent="0.25">
      <c r="A30" s="30">
        <v>45707</v>
      </c>
      <c r="B30" s="37">
        <v>2519</v>
      </c>
      <c r="C30" s="37" t="s">
        <v>192</v>
      </c>
      <c r="D30" s="37">
        <v>40136</v>
      </c>
      <c r="E30" s="29" t="s">
        <v>377</v>
      </c>
      <c r="F30" s="10">
        <v>-703.43</v>
      </c>
    </row>
    <row r="31" spans="1:6" x14ac:dyDescent="0.25">
      <c r="A31" s="30">
        <v>45761</v>
      </c>
      <c r="B31" s="37">
        <v>2519</v>
      </c>
      <c r="C31" s="37" t="s">
        <v>192</v>
      </c>
      <c r="D31" s="37">
        <v>40418</v>
      </c>
      <c r="E31" s="29" t="s">
        <v>396</v>
      </c>
      <c r="F31" s="10">
        <v>-1000</v>
      </c>
    </row>
    <row r="32" spans="1:6" x14ac:dyDescent="0.25">
      <c r="A32" s="30">
        <v>45838</v>
      </c>
      <c r="B32" s="37">
        <v>2519</v>
      </c>
      <c r="C32" s="37" t="s">
        <v>192</v>
      </c>
      <c r="D32" s="37">
        <v>40927</v>
      </c>
      <c r="E32" s="40"/>
      <c r="F32" s="10">
        <v>-250</v>
      </c>
    </row>
    <row r="33" spans="1:7" x14ac:dyDescent="0.25">
      <c r="A33" s="30">
        <v>45888</v>
      </c>
      <c r="B33" s="37">
        <v>2519</v>
      </c>
      <c r="C33" s="37" t="s">
        <v>192</v>
      </c>
      <c r="D33" s="37">
        <v>41214</v>
      </c>
      <c r="E33" s="29" t="s">
        <v>477</v>
      </c>
      <c r="F33" s="10">
        <v>-200</v>
      </c>
    </row>
    <row r="34" spans="1:7" x14ac:dyDescent="0.25">
      <c r="B34" s="37"/>
      <c r="C34" s="37"/>
      <c r="D34" s="37"/>
      <c r="E34" s="29"/>
      <c r="F34" s="10"/>
    </row>
    <row r="36" spans="1:7" x14ac:dyDescent="0.25">
      <c r="A36" s="30" t="s">
        <v>210</v>
      </c>
    </row>
    <row r="37" spans="1:7" x14ac:dyDescent="0.25">
      <c r="E37" s="38" t="s">
        <v>199</v>
      </c>
      <c r="F37" s="38" t="s">
        <v>25</v>
      </c>
      <c r="G37" s="38" t="s">
        <v>208</v>
      </c>
    </row>
    <row r="38" spans="1:7" x14ac:dyDescent="0.25">
      <c r="E38" s="32"/>
      <c r="F38" s="32"/>
      <c r="G38" s="32"/>
    </row>
    <row r="39" spans="1:7" x14ac:dyDescent="0.25">
      <c r="E39" s="32"/>
      <c r="F39" s="32"/>
      <c r="G39" s="32"/>
    </row>
    <row r="40" spans="1:7" x14ac:dyDescent="0.25">
      <c r="E40" s="32"/>
      <c r="F40" s="32"/>
      <c r="G40" s="32"/>
    </row>
    <row r="41" spans="1:7" x14ac:dyDescent="0.25">
      <c r="E41" s="32"/>
      <c r="F41" s="32"/>
      <c r="G41" s="32"/>
    </row>
    <row r="42" spans="1:7" x14ac:dyDescent="0.25">
      <c r="E42" s="32"/>
      <c r="F42" s="32"/>
      <c r="G42" s="32"/>
    </row>
    <row r="43" spans="1:7" x14ac:dyDescent="0.25">
      <c r="E43" s="32"/>
      <c r="F43" s="32"/>
      <c r="G43" s="32"/>
    </row>
    <row r="44" spans="1:7" x14ac:dyDescent="0.25">
      <c r="E44" s="32"/>
      <c r="F44" s="32"/>
      <c r="G44" s="32"/>
    </row>
    <row r="45" spans="1:7" x14ac:dyDescent="0.25">
      <c r="E45" s="32"/>
      <c r="F45" s="32"/>
      <c r="G45" s="32"/>
    </row>
    <row r="46" spans="1:7" x14ac:dyDescent="0.25">
      <c r="E46" s="32"/>
      <c r="F46" s="32"/>
      <c r="G46" s="32"/>
    </row>
  </sheetData>
  <conditionalFormatting sqref="O3:O4 T5">
    <cfRule type="cellIs" dxfId="5" priority="1" operator="notEqual">
      <formula>0</formula>
    </cfRule>
  </conditionalFormatting>
  <conditionalFormatting sqref="T5">
    <cfRule type="cellIs" dxfId="4" priority="2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Summary</vt:lpstr>
      <vt:lpstr>Detail</vt:lpstr>
      <vt:lpstr>Aug Trial Balance</vt:lpstr>
      <vt:lpstr>Aug ProCards</vt:lpstr>
      <vt:lpstr>Aug Vouchers</vt:lpstr>
      <vt:lpstr>MHPG Award</vt:lpstr>
      <vt:lpstr>Bed Tax Grant</vt:lpstr>
      <vt:lpstr>CWIP</vt:lpstr>
      <vt:lpstr>Rental Deposits</vt:lpstr>
      <vt:lpstr>TB Recon</vt:lpstr>
      <vt:lpstr>Detail!Print_Area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Mallo</dc:creator>
  <cp:lastModifiedBy>Mallo, Ingrid</cp:lastModifiedBy>
  <cp:lastPrinted>2024-06-07T16:57:18Z</cp:lastPrinted>
  <dcterms:created xsi:type="dcterms:W3CDTF">2021-12-22T23:41:39Z</dcterms:created>
  <dcterms:modified xsi:type="dcterms:W3CDTF">2025-09-02T18:35:51Z</dcterms:modified>
</cp:coreProperties>
</file>